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stanke\Downloads\"/>
    </mc:Choice>
  </mc:AlternateContent>
  <xr:revisionPtr revIDLastSave="0" documentId="13_ncr:1_{9CC4E315-5723-4DA6-A790-5D9DEEB013B1}" xr6:coauthVersionLast="47" xr6:coauthVersionMax="47" xr10:uidLastSave="{00000000-0000-0000-0000-000000000000}"/>
  <bookViews>
    <workbookView xWindow="-110" yWindow="-110" windowWidth="25820" windowHeight="13900" activeTab="2" xr2:uid="{00000000-000D-0000-FFFF-FFFF00000000}"/>
  </bookViews>
  <sheets>
    <sheet name="1. Instrukcija" sheetId="1" r:id="rId1"/>
    <sheet name="2. Investicijos" sheetId="2" r:id="rId2"/>
    <sheet name="3. Finansinės prielaidos" sheetId="3" r:id="rId3"/>
    <sheet name="4. Metinis CAPEX" sheetId="4" r:id="rId4"/>
    <sheet name="5. 0% scenarijus" sheetId="5" r:id="rId5"/>
    <sheet name="5A. Pagalbiniai skaičiavimai" sheetId="7" r:id="rId6"/>
    <sheet name="6. Aprašo scenarijus" sheetId="6" r:id="rId7"/>
    <sheet name="6A. Pagalbiniai skaičiavimai" sheetId="8" r:id="rId8"/>
    <sheet name="7. Pasirinktinis scenarijus" sheetId="9" r:id="rId9"/>
    <sheet name="7A. Pagalbiniai skaičiavimai"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3" l="1"/>
  <c r="C30" i="3"/>
  <c r="C12" i="5" s="1"/>
  <c r="C6" i="3"/>
  <c r="C10" i="3" s="1"/>
  <c r="C29" i="3" s="1"/>
  <c r="C19" i="3"/>
  <c r="C32" i="3" s="1"/>
  <c r="P30" i="10" s="1"/>
  <c r="A2" i="5"/>
  <c r="D36" i="3"/>
  <c r="E36" i="3"/>
  <c r="F36" i="3"/>
  <c r="G36" i="3"/>
  <c r="H36" i="3"/>
  <c r="I36" i="3"/>
  <c r="J36" i="3"/>
  <c r="K36" i="3"/>
  <c r="L36" i="3"/>
  <c r="A61" i="9"/>
  <c r="B61" i="9"/>
  <c r="C61" i="9"/>
  <c r="D61" i="9"/>
  <c r="A60" i="9"/>
  <c r="B60" i="9"/>
  <c r="C60" i="9"/>
  <c r="D60" i="9"/>
  <c r="A59" i="9"/>
  <c r="B59" i="9"/>
  <c r="C59" i="9"/>
  <c r="E59" i="9" s="1"/>
  <c r="D59" i="9"/>
  <c r="A58" i="9"/>
  <c r="B58" i="9"/>
  <c r="C58" i="9"/>
  <c r="D58" i="9"/>
  <c r="A57" i="9"/>
  <c r="B57" i="9"/>
  <c r="C57" i="9"/>
  <c r="D57" i="9"/>
  <c r="A56" i="9"/>
  <c r="B56" i="9"/>
  <c r="C56" i="9"/>
  <c r="D56" i="9"/>
  <c r="A55" i="9"/>
  <c r="B55" i="9"/>
  <c r="C55" i="9"/>
  <c r="D55" i="9"/>
  <c r="A54" i="9"/>
  <c r="B54" i="9"/>
  <c r="C54" i="9"/>
  <c r="D54" i="9"/>
  <c r="A53" i="9"/>
  <c r="B53" i="9"/>
  <c r="C53" i="9"/>
  <c r="F53" i="9" s="1"/>
  <c r="D53" i="9"/>
  <c r="A52" i="9"/>
  <c r="B52" i="9"/>
  <c r="C52" i="9"/>
  <c r="D52" i="9"/>
  <c r="A51" i="9"/>
  <c r="B51" i="9"/>
  <c r="C51" i="9"/>
  <c r="D51" i="9"/>
  <c r="A50" i="9"/>
  <c r="B50" i="9"/>
  <c r="C50" i="9"/>
  <c r="E50" i="9" s="1"/>
  <c r="D50" i="9"/>
  <c r="A49" i="9"/>
  <c r="B49" i="9"/>
  <c r="C49" i="9"/>
  <c r="D49" i="9"/>
  <c r="A48" i="9"/>
  <c r="B48" i="9"/>
  <c r="C48" i="9"/>
  <c r="D48" i="9"/>
  <c r="A47" i="9"/>
  <c r="B47" i="9"/>
  <c r="C47" i="9"/>
  <c r="D47" i="9"/>
  <c r="A46" i="9"/>
  <c r="B46" i="9"/>
  <c r="C46" i="9"/>
  <c r="D46" i="9"/>
  <c r="A45" i="9"/>
  <c r="B45" i="9"/>
  <c r="C45" i="9"/>
  <c r="D45" i="9"/>
  <c r="A44" i="9"/>
  <c r="B44" i="9"/>
  <c r="C44" i="9"/>
  <c r="D44" i="9"/>
  <c r="A43" i="9"/>
  <c r="B43" i="9"/>
  <c r="C43" i="9"/>
  <c r="D43" i="9"/>
  <c r="A42" i="9"/>
  <c r="B42" i="9"/>
  <c r="C42" i="9"/>
  <c r="D42" i="9"/>
  <c r="A59" i="6"/>
  <c r="B59" i="6"/>
  <c r="C59" i="6"/>
  <c r="D59" i="6"/>
  <c r="E59" i="6" s="1"/>
  <c r="F59" i="6" s="1"/>
  <c r="A58" i="6"/>
  <c r="B58" i="6"/>
  <c r="C58" i="6"/>
  <c r="D58" i="6"/>
  <c r="A57" i="6"/>
  <c r="B57" i="6"/>
  <c r="C57" i="6"/>
  <c r="D57" i="6"/>
  <c r="A56" i="6"/>
  <c r="B56" i="6"/>
  <c r="C56" i="6"/>
  <c r="D56" i="6"/>
  <c r="E56" i="6" s="1"/>
  <c r="A55" i="6"/>
  <c r="B55" i="6"/>
  <c r="C55" i="6"/>
  <c r="D55" i="6"/>
  <c r="A54" i="6"/>
  <c r="B54" i="6"/>
  <c r="C54" i="6"/>
  <c r="F54" i="6" s="1"/>
  <c r="D54" i="6"/>
  <c r="E54" i="6" s="1"/>
  <c r="A53" i="6"/>
  <c r="B53" i="6"/>
  <c r="C53" i="6"/>
  <c r="D53" i="6"/>
  <c r="E53" i="6" s="1"/>
  <c r="A52" i="6"/>
  <c r="B52" i="6"/>
  <c r="C52" i="6"/>
  <c r="D52" i="6"/>
  <c r="A51" i="6"/>
  <c r="B51" i="6"/>
  <c r="C51" i="6"/>
  <c r="D51" i="6"/>
  <c r="A50" i="6"/>
  <c r="B50" i="6"/>
  <c r="C50" i="6"/>
  <c r="D50" i="6"/>
  <c r="E50" i="6" s="1"/>
  <c r="F50" i="6" s="1"/>
  <c r="A49" i="6"/>
  <c r="B49" i="6"/>
  <c r="C49" i="6"/>
  <c r="D49" i="6"/>
  <c r="A48" i="6"/>
  <c r="B48" i="6"/>
  <c r="C48" i="6"/>
  <c r="D48" i="6"/>
  <c r="A47" i="6"/>
  <c r="B47" i="6"/>
  <c r="C47" i="6"/>
  <c r="D47" i="6"/>
  <c r="E47" i="6" s="1"/>
  <c r="F47" i="6" s="1"/>
  <c r="A46" i="6"/>
  <c r="B46" i="6"/>
  <c r="C46" i="6"/>
  <c r="D46" i="6"/>
  <c r="A45" i="6"/>
  <c r="B45" i="6"/>
  <c r="C45" i="6"/>
  <c r="D45" i="6"/>
  <c r="A44" i="6"/>
  <c r="B44" i="6"/>
  <c r="C44" i="6"/>
  <c r="D44" i="6"/>
  <c r="E44" i="6" s="1"/>
  <c r="A43" i="6"/>
  <c r="B43" i="6"/>
  <c r="C43" i="6"/>
  <c r="D43" i="6"/>
  <c r="A42" i="6"/>
  <c r="B42" i="6"/>
  <c r="C42" i="6"/>
  <c r="D42" i="6"/>
  <c r="A41" i="6"/>
  <c r="B41" i="6"/>
  <c r="C41" i="6"/>
  <c r="D41" i="6"/>
  <c r="E41" i="6" s="1"/>
  <c r="F41" i="6" s="1"/>
  <c r="A40" i="6"/>
  <c r="B40" i="6"/>
  <c r="C40" i="6"/>
  <c r="D40" i="6"/>
  <c r="C194" i="7" a="1"/>
  <c r="D194" i="7" a="1"/>
  <c r="E194" i="7" a="1"/>
  <c r="F194" i="7" a="1"/>
  <c r="G194" i="7" a="1"/>
  <c r="H194" i="7" a="1"/>
  <c r="I194" i="7" a="1"/>
  <c r="J194" i="7" a="1"/>
  <c r="K194" i="7" a="1"/>
  <c r="L194" i="7" a="1"/>
  <c r="C204" i="7" a="1"/>
  <c r="D204" i="7" a="1"/>
  <c r="E204" i="7" a="1"/>
  <c r="F204" i="7" a="1"/>
  <c r="G204" i="7" a="1"/>
  <c r="H204" i="7" a="1"/>
  <c r="I204" i="7" a="1"/>
  <c r="J204" i="7" a="1"/>
  <c r="K204" i="7" a="1"/>
  <c r="L204" i="7" a="1"/>
  <c r="C214" i="7" a="1"/>
  <c r="D214" i="7" a="1"/>
  <c r="E214" i="7" a="1"/>
  <c r="F214" i="7" a="1"/>
  <c r="G214" i="7" a="1"/>
  <c r="H214" i="7" a="1"/>
  <c r="I214" i="7" a="1"/>
  <c r="J214" i="7" a="1"/>
  <c r="K214" i="7" a="1"/>
  <c r="L214" i="7" a="1"/>
  <c r="C224" i="7" a="1"/>
  <c r="D224" i="7" a="1"/>
  <c r="E224" i="7" a="1"/>
  <c r="F224" i="7" a="1"/>
  <c r="G224" i="7" a="1"/>
  <c r="H224" i="7" a="1"/>
  <c r="I224" i="7" a="1"/>
  <c r="J224" i="7" a="1"/>
  <c r="K224" i="7" a="1"/>
  <c r="L224" i="7" a="1"/>
  <c r="C234" i="7" a="1"/>
  <c r="D234" i="7" a="1"/>
  <c r="E234" i="7" a="1"/>
  <c r="F234" i="7" a="1"/>
  <c r="G234" i="7" a="1"/>
  <c r="H234" i="7" a="1"/>
  <c r="I234" i="7" a="1"/>
  <c r="J234" i="7" a="1"/>
  <c r="K234" i="7" a="1"/>
  <c r="L234" i="7" a="1"/>
  <c r="C44" i="7" a="1"/>
  <c r="D44" i="7" a="1"/>
  <c r="E44" i="7" a="1"/>
  <c r="F44" i="7" a="1"/>
  <c r="G44" i="7" a="1"/>
  <c r="H44" i="7" a="1"/>
  <c r="I44" i="7" a="1"/>
  <c r="J44" i="7" a="1"/>
  <c r="K44" i="7" a="1"/>
  <c r="L44" i="7" a="1"/>
  <c r="C54" i="7" a="1"/>
  <c r="D54" i="7" a="1"/>
  <c r="E54" i="7" a="1"/>
  <c r="F54" i="7" a="1"/>
  <c r="G54" i="7" a="1"/>
  <c r="H54" i="7" a="1"/>
  <c r="I54" i="7" a="1"/>
  <c r="J54" i="7" a="1"/>
  <c r="K54" i="7" a="1"/>
  <c r="L54" i="7" a="1"/>
  <c r="C64" i="7" a="1"/>
  <c r="D64" i="7" a="1"/>
  <c r="E64" i="7" a="1"/>
  <c r="F64" i="7" a="1"/>
  <c r="G64" i="7" a="1"/>
  <c r="H64" i="7" a="1"/>
  <c r="I64" i="7" a="1"/>
  <c r="J64" i="7" a="1"/>
  <c r="K64" i="7" a="1"/>
  <c r="L64" i="7" a="1"/>
  <c r="C74" i="7" a="1"/>
  <c r="D74" i="7" a="1"/>
  <c r="E74" i="7" a="1"/>
  <c r="F74" i="7" a="1"/>
  <c r="G74" i="7" a="1"/>
  <c r="H74" i="7" a="1"/>
  <c r="I74" i="7" a="1"/>
  <c r="J74" i="7" a="1"/>
  <c r="K74" i="7" a="1"/>
  <c r="L74" i="7" a="1"/>
  <c r="C84" i="7" a="1"/>
  <c r="D84" i="7" a="1"/>
  <c r="E84" i="7" a="1"/>
  <c r="F84" i="7" a="1"/>
  <c r="G84" i="7" a="1"/>
  <c r="H84" i="7" a="1"/>
  <c r="I84" i="7" a="1"/>
  <c r="J84" i="7" a="1"/>
  <c r="K84" i="7" a="1"/>
  <c r="L84" i="7" a="1"/>
  <c r="C94" i="7" a="1"/>
  <c r="D94" i="7" a="1"/>
  <c r="E94" i="7" a="1"/>
  <c r="F94" i="7" a="1"/>
  <c r="G94" i="7" a="1"/>
  <c r="H94" i="7" a="1"/>
  <c r="I94" i="7" a="1"/>
  <c r="J94" i="7" a="1"/>
  <c r="K94" i="7" a="1"/>
  <c r="L94" i="7" a="1"/>
  <c r="C104" i="7" a="1"/>
  <c r="D104" i="7" a="1"/>
  <c r="E104" i="7" a="1"/>
  <c r="F104" i="7" a="1"/>
  <c r="G104" i="7" a="1"/>
  <c r="H104" i="7" a="1"/>
  <c r="I104" i="7" a="1"/>
  <c r="J104" i="7" a="1"/>
  <c r="K104" i="7" a="1"/>
  <c r="L104" i="7" a="1"/>
  <c r="C114" i="7" a="1"/>
  <c r="D114" i="7" a="1"/>
  <c r="E114" i="7" a="1"/>
  <c r="F114" i="7" a="1"/>
  <c r="G114" i="7" a="1"/>
  <c r="H114" i="7" a="1"/>
  <c r="I114" i="7" a="1"/>
  <c r="J114" i="7" a="1"/>
  <c r="K114" i="7" a="1"/>
  <c r="L114" i="7" a="1"/>
  <c r="C124" i="7" a="1"/>
  <c r="D124" i="7" a="1"/>
  <c r="E124" i="7" a="1"/>
  <c r="F124" i="7" a="1"/>
  <c r="G124" i="7" a="1"/>
  <c r="H124" i="7" a="1"/>
  <c r="I124" i="7" a="1"/>
  <c r="J124" i="7" a="1"/>
  <c r="K124" i="7" a="1"/>
  <c r="L124" i="7" a="1"/>
  <c r="C134" i="7" a="1"/>
  <c r="D134" i="7" a="1"/>
  <c r="E134" i="7" a="1"/>
  <c r="F134" i="7" a="1"/>
  <c r="G134" i="7" a="1"/>
  <c r="H134" i="7" a="1"/>
  <c r="I134" i="7" a="1"/>
  <c r="J134" i="7" a="1"/>
  <c r="K134" i="7" a="1"/>
  <c r="L134" i="7" a="1"/>
  <c r="C144" i="7" a="1"/>
  <c r="D144" i="7" a="1"/>
  <c r="E144" i="7" a="1"/>
  <c r="F144" i="7" a="1"/>
  <c r="G144" i="7" a="1"/>
  <c r="H144" i="7" a="1"/>
  <c r="I144" i="7" a="1"/>
  <c r="J144" i="7" a="1"/>
  <c r="K144" i="7" a="1"/>
  <c r="L144" i="7" a="1"/>
  <c r="C154" i="7" a="1"/>
  <c r="D154" i="7" a="1"/>
  <c r="E154" i="7" a="1"/>
  <c r="F154" i="7" a="1"/>
  <c r="G154" i="7" a="1"/>
  <c r="H154" i="7" a="1"/>
  <c r="I154" i="7" a="1"/>
  <c r="J154" i="7" a="1"/>
  <c r="K154" i="7" a="1"/>
  <c r="L154" i="7" a="1"/>
  <c r="C164" i="7" a="1"/>
  <c r="D164" i="7" a="1"/>
  <c r="E164" i="7" a="1"/>
  <c r="F164" i="7" a="1"/>
  <c r="G164" i="7" a="1"/>
  <c r="H164" i="7" a="1"/>
  <c r="I164" i="7" a="1"/>
  <c r="J164" i="7" a="1"/>
  <c r="K164" i="7" a="1"/>
  <c r="L164" i="7" a="1"/>
  <c r="C174" i="7" a="1"/>
  <c r="D174" i="7" a="1"/>
  <c r="E174" i="7" a="1"/>
  <c r="F174" i="7" a="1"/>
  <c r="G174" i="7" a="1"/>
  <c r="H174" i="7" a="1"/>
  <c r="I174" i="7" a="1"/>
  <c r="J174" i="7" a="1"/>
  <c r="K174" i="7" a="1"/>
  <c r="L174" i="7" a="1"/>
  <c r="C184" i="7" a="1"/>
  <c r="D184" i="7" a="1"/>
  <c r="E184" i="7" a="1"/>
  <c r="F184" i="7" a="1"/>
  <c r="G184" i="7" a="1"/>
  <c r="H184" i="7" a="1"/>
  <c r="I184" i="7" a="1"/>
  <c r="J184" i="7" a="1"/>
  <c r="K184" i="7" a="1"/>
  <c r="L184" i="7" a="1"/>
  <c r="F220" i="10" a="1"/>
  <c r="G220" i="10" a="1"/>
  <c r="J220" i="10"/>
  <c r="S220" i="10" a="1"/>
  <c r="F221" i="10" a="1"/>
  <c r="G221" i="10" a="1"/>
  <c r="S221" i="10" a="1"/>
  <c r="F222" i="10" a="1"/>
  <c r="G222" i="10" a="1"/>
  <c r="S222" i="10" a="1"/>
  <c r="F223" i="10" a="1"/>
  <c r="G223" i="10" a="1"/>
  <c r="S223" i="10" a="1"/>
  <c r="F224" i="10" a="1"/>
  <c r="G224" i="10" a="1"/>
  <c r="S224" i="10" a="1"/>
  <c r="F225" i="10" a="1"/>
  <c r="G225" i="10" a="1"/>
  <c r="S225" i="10" a="1"/>
  <c r="F226" i="10" a="1"/>
  <c r="G226" i="10" a="1"/>
  <c r="S226" i="10" a="1"/>
  <c r="F227" i="10" a="1"/>
  <c r="G227" i="10" a="1"/>
  <c r="S227" i="10" a="1"/>
  <c r="F228" i="10" a="1"/>
  <c r="G228" i="10" a="1"/>
  <c r="S228" i="10" a="1"/>
  <c r="F229" i="10" a="1"/>
  <c r="G229" i="10" a="1"/>
  <c r="S229" i="10" a="1"/>
  <c r="F230" i="10" a="1"/>
  <c r="G230" i="10" a="1"/>
  <c r="J230" i="10"/>
  <c r="S230" i="10" a="1"/>
  <c r="F231" i="10" a="1"/>
  <c r="G231" i="10" a="1"/>
  <c r="S231" i="10" a="1"/>
  <c r="F232" i="10" a="1"/>
  <c r="G232" i="10" a="1"/>
  <c r="S232" i="10" a="1"/>
  <c r="F233" i="10" a="1"/>
  <c r="G233" i="10" a="1"/>
  <c r="S233" i="10" a="1"/>
  <c r="F234" i="10" a="1"/>
  <c r="G234" i="10" a="1"/>
  <c r="S234" i="10" a="1"/>
  <c r="F235" i="10" a="1"/>
  <c r="G235" i="10" a="1"/>
  <c r="S235" i="10" a="1"/>
  <c r="F236" i="10" a="1"/>
  <c r="G236" i="10" a="1"/>
  <c r="S236" i="10" a="1"/>
  <c r="F237" i="10" a="1"/>
  <c r="G237" i="10" a="1"/>
  <c r="S237" i="10" a="1"/>
  <c r="F238" i="10" a="1"/>
  <c r="G238" i="10" a="1"/>
  <c r="S238" i="10" a="1"/>
  <c r="F239" i="10" a="1"/>
  <c r="G239" i="10" a="1"/>
  <c r="S239" i="10" a="1"/>
  <c r="F160" i="10" a="1"/>
  <c r="G160" i="10" a="1"/>
  <c r="J160" i="10"/>
  <c r="S160" i="10" a="1"/>
  <c r="F161" i="10" a="1"/>
  <c r="G161" i="10" a="1"/>
  <c r="S161" i="10" a="1"/>
  <c r="F162" i="10" a="1"/>
  <c r="G162" i="10" a="1"/>
  <c r="S162" i="10" a="1"/>
  <c r="F163" i="10" a="1"/>
  <c r="G163" i="10" a="1"/>
  <c r="S163" i="10" a="1"/>
  <c r="F164" i="10" a="1"/>
  <c r="G164" i="10" a="1"/>
  <c r="S164" i="10" a="1"/>
  <c r="F165" i="10" a="1"/>
  <c r="G165" i="10" a="1"/>
  <c r="S165" i="10" a="1"/>
  <c r="F166" i="10" a="1"/>
  <c r="G166" i="10" a="1"/>
  <c r="S166" i="10" a="1"/>
  <c r="F167" i="10" a="1"/>
  <c r="G167" i="10" a="1"/>
  <c r="S167" i="10" a="1"/>
  <c r="F168" i="10" a="1"/>
  <c r="G168" i="10" a="1"/>
  <c r="S168" i="10" a="1"/>
  <c r="F169" i="10" a="1"/>
  <c r="G169" i="10" a="1"/>
  <c r="S169" i="10" a="1"/>
  <c r="F170" i="10" a="1"/>
  <c r="G170" i="10" a="1"/>
  <c r="J170" i="10"/>
  <c r="S170" i="10" a="1"/>
  <c r="F171" i="10" a="1"/>
  <c r="G171" i="10" a="1"/>
  <c r="S171" i="10" a="1"/>
  <c r="F172" i="10" a="1"/>
  <c r="G172" i="10" a="1"/>
  <c r="S172" i="10" a="1"/>
  <c r="F173" i="10" a="1"/>
  <c r="G173" i="10" a="1"/>
  <c r="S173" i="10" a="1"/>
  <c r="F174" i="10" a="1"/>
  <c r="G174" i="10" a="1"/>
  <c r="S174" i="10" a="1"/>
  <c r="F175" i="10" a="1"/>
  <c r="G175" i="10" a="1"/>
  <c r="S175" i="10" a="1"/>
  <c r="F176" i="10" a="1"/>
  <c r="G176" i="10" a="1"/>
  <c r="S176" i="10" a="1"/>
  <c r="F177" i="10" a="1"/>
  <c r="G177" i="10" a="1"/>
  <c r="S177" i="10" a="1"/>
  <c r="F178" i="10" a="1"/>
  <c r="G178" i="10" a="1"/>
  <c r="S178" i="10" a="1"/>
  <c r="F179" i="10" a="1"/>
  <c r="G179" i="10" a="1"/>
  <c r="S179" i="10" a="1"/>
  <c r="F180" i="10" a="1"/>
  <c r="G180" i="10" a="1"/>
  <c r="J180" i="10"/>
  <c r="S180" i="10" a="1"/>
  <c r="F181" i="10" a="1"/>
  <c r="G181" i="10" a="1"/>
  <c r="S181" i="10" a="1"/>
  <c r="F182" i="10" a="1"/>
  <c r="G182" i="10" a="1"/>
  <c r="S182" i="10" a="1"/>
  <c r="F183" i="10" a="1"/>
  <c r="G183" i="10" a="1"/>
  <c r="S183" i="10" a="1"/>
  <c r="F184" i="10" a="1"/>
  <c r="G184" i="10" a="1"/>
  <c r="S184" i="10" a="1"/>
  <c r="F185" i="10" a="1"/>
  <c r="G185" i="10" a="1"/>
  <c r="S185" i="10" a="1"/>
  <c r="F186" i="10" a="1"/>
  <c r="G186" i="10" a="1"/>
  <c r="S186" i="10" a="1"/>
  <c r="F187" i="10" a="1"/>
  <c r="G187" i="10" a="1"/>
  <c r="S187" i="10" a="1"/>
  <c r="F188" i="10" a="1"/>
  <c r="G188" i="10" a="1"/>
  <c r="S188" i="10" a="1"/>
  <c r="F189" i="10" a="1"/>
  <c r="G189" i="10" a="1"/>
  <c r="S189" i="10" a="1"/>
  <c r="F190" i="10" a="1"/>
  <c r="G190" i="10" a="1"/>
  <c r="J190" i="10"/>
  <c r="S190" i="10" a="1"/>
  <c r="F191" i="10" a="1"/>
  <c r="G191" i="10" a="1"/>
  <c r="S191" i="10" a="1"/>
  <c r="F192" i="10" a="1"/>
  <c r="G192" i="10" a="1"/>
  <c r="S192" i="10" a="1"/>
  <c r="F193" i="10" a="1"/>
  <c r="G193" i="10" a="1"/>
  <c r="S193" i="10" a="1"/>
  <c r="F194" i="10" a="1"/>
  <c r="G194" i="10" a="1"/>
  <c r="S194" i="10" a="1"/>
  <c r="F195" i="10" a="1"/>
  <c r="G195" i="10" a="1"/>
  <c r="S195" i="10" a="1"/>
  <c r="F196" i="10" a="1"/>
  <c r="G196" i="10" a="1"/>
  <c r="S196" i="10" a="1"/>
  <c r="F197" i="10" a="1"/>
  <c r="G197" i="10" a="1"/>
  <c r="S197" i="10" a="1"/>
  <c r="F198" i="10" a="1"/>
  <c r="G198" i="10" a="1"/>
  <c r="S198" i="10" a="1"/>
  <c r="F199" i="10" a="1"/>
  <c r="G199" i="10" a="1"/>
  <c r="S199" i="10" a="1"/>
  <c r="F200" i="10" a="1"/>
  <c r="G200" i="10" a="1"/>
  <c r="J200" i="10"/>
  <c r="S200" i="10" a="1"/>
  <c r="F201" i="10" a="1"/>
  <c r="G201" i="10" a="1"/>
  <c r="S201" i="10" a="1"/>
  <c r="F202" i="10" a="1"/>
  <c r="G202" i="10" a="1"/>
  <c r="S202" i="10" a="1"/>
  <c r="F203" i="10" a="1"/>
  <c r="G203" i="10" a="1"/>
  <c r="S203" i="10" a="1"/>
  <c r="F204" i="10" a="1"/>
  <c r="G204" i="10" a="1"/>
  <c r="S204" i="10" a="1"/>
  <c r="F205" i="10" a="1"/>
  <c r="G205" i="10" a="1"/>
  <c r="S205" i="10" a="1"/>
  <c r="F206" i="10" a="1"/>
  <c r="G206" i="10" a="1"/>
  <c r="S206" i="10" a="1"/>
  <c r="F207" i="10" a="1"/>
  <c r="G207" i="10" a="1"/>
  <c r="S207" i="10" a="1"/>
  <c r="F208" i="10" a="1"/>
  <c r="G208" i="10" a="1"/>
  <c r="S208" i="10" a="1"/>
  <c r="F209" i="10" a="1"/>
  <c r="G209" i="10" a="1"/>
  <c r="S209" i="10" a="1"/>
  <c r="F210" i="10" a="1"/>
  <c r="G210" i="10" a="1"/>
  <c r="J210" i="10"/>
  <c r="S210" i="10" a="1"/>
  <c r="F211" i="10" a="1"/>
  <c r="G211" i="10" a="1"/>
  <c r="S211" i="10" a="1"/>
  <c r="F212" i="10" a="1"/>
  <c r="G212" i="10" a="1"/>
  <c r="S212" i="10" a="1"/>
  <c r="F213" i="10" a="1"/>
  <c r="G213" i="10" a="1"/>
  <c r="S213" i="10" a="1"/>
  <c r="F214" i="10" a="1"/>
  <c r="G214" i="10" a="1"/>
  <c r="S214" i="10" a="1"/>
  <c r="F215" i="10" a="1"/>
  <c r="G215" i="10" a="1"/>
  <c r="S215" i="10" a="1"/>
  <c r="F216" i="10" a="1"/>
  <c r="G216" i="10" a="1"/>
  <c r="S216" i="10" a="1"/>
  <c r="F217" i="10" a="1"/>
  <c r="G217" i="10" a="1"/>
  <c r="S217" i="10" a="1"/>
  <c r="F218" i="10" a="1"/>
  <c r="G218" i="10" a="1"/>
  <c r="S218" i="10" a="1"/>
  <c r="F219" i="10" a="1"/>
  <c r="G219" i="10" a="1"/>
  <c r="S219" i="10" a="1"/>
  <c r="F100" i="10" a="1"/>
  <c r="G100" i="10" a="1"/>
  <c r="J100" i="10"/>
  <c r="S100" i="10" a="1"/>
  <c r="F101" i="10" a="1"/>
  <c r="G101" i="10" a="1"/>
  <c r="S101" i="10" a="1"/>
  <c r="F102" i="10" a="1"/>
  <c r="G102" i="10" a="1"/>
  <c r="S102" i="10" a="1"/>
  <c r="F103" i="10" a="1"/>
  <c r="G103" i="10" a="1"/>
  <c r="S103" i="10" a="1"/>
  <c r="F104" i="10" a="1"/>
  <c r="G104" i="10" a="1"/>
  <c r="S104" i="10" a="1"/>
  <c r="F105" i="10" a="1"/>
  <c r="G105" i="10" a="1"/>
  <c r="S105" i="10" a="1"/>
  <c r="F106" i="10" a="1"/>
  <c r="G106" i="10" a="1"/>
  <c r="S106" i="10" a="1"/>
  <c r="F107" i="10" a="1"/>
  <c r="G107" i="10" a="1"/>
  <c r="S107" i="10" a="1"/>
  <c r="F108" i="10" a="1"/>
  <c r="G108" i="10" a="1"/>
  <c r="S108" i="10" a="1"/>
  <c r="F109" i="10" a="1"/>
  <c r="G109" i="10" a="1"/>
  <c r="S109" i="10" a="1"/>
  <c r="F110" i="10" a="1"/>
  <c r="G110" i="10" a="1"/>
  <c r="J110" i="10"/>
  <c r="S110" i="10" a="1"/>
  <c r="F111" i="10" a="1"/>
  <c r="G111" i="10" a="1"/>
  <c r="S111" i="10" a="1"/>
  <c r="F112" i="10" a="1"/>
  <c r="G112" i="10" a="1"/>
  <c r="S112" i="10" a="1"/>
  <c r="F113" i="10" a="1"/>
  <c r="G113" i="10" a="1"/>
  <c r="S113" i="10" a="1"/>
  <c r="F114" i="10" a="1"/>
  <c r="G114" i="10" a="1"/>
  <c r="S114" i="10" a="1"/>
  <c r="F115" i="10" a="1"/>
  <c r="G115" i="10" a="1"/>
  <c r="S115" i="10" a="1"/>
  <c r="F116" i="10" a="1"/>
  <c r="G116" i="10" a="1"/>
  <c r="S116" i="10" a="1"/>
  <c r="F117" i="10" a="1"/>
  <c r="G117" i="10" a="1"/>
  <c r="S117" i="10" a="1"/>
  <c r="F118" i="10" a="1"/>
  <c r="G118" i="10" a="1"/>
  <c r="S118" i="10" a="1"/>
  <c r="F119" i="10" a="1"/>
  <c r="G119" i="10" a="1"/>
  <c r="S119" i="10" a="1"/>
  <c r="F120" i="10" a="1"/>
  <c r="G120" i="10" a="1"/>
  <c r="J120" i="10"/>
  <c r="S120" i="10" a="1"/>
  <c r="F121" i="10" a="1"/>
  <c r="G121" i="10" a="1"/>
  <c r="S121" i="10" a="1"/>
  <c r="F122" i="10" a="1"/>
  <c r="G122" i="10" a="1"/>
  <c r="S122" i="10" a="1"/>
  <c r="F123" i="10" a="1"/>
  <c r="G123" i="10" a="1"/>
  <c r="S123" i="10" a="1"/>
  <c r="F124" i="10" a="1"/>
  <c r="G124" i="10" a="1"/>
  <c r="S124" i="10" a="1"/>
  <c r="F125" i="10" a="1"/>
  <c r="G125" i="10" a="1"/>
  <c r="S125" i="10" a="1"/>
  <c r="F126" i="10" a="1"/>
  <c r="G126" i="10" a="1"/>
  <c r="S126" i="10" a="1"/>
  <c r="F127" i="10" a="1"/>
  <c r="G127" i="10" a="1"/>
  <c r="S127" i="10" a="1"/>
  <c r="F128" i="10" a="1"/>
  <c r="G128" i="10" a="1"/>
  <c r="S128" i="10" a="1"/>
  <c r="F129" i="10" a="1"/>
  <c r="G129" i="10" a="1"/>
  <c r="S129" i="10" a="1"/>
  <c r="F130" i="10" a="1"/>
  <c r="G130" i="10" a="1"/>
  <c r="J130" i="10"/>
  <c r="S130" i="10" a="1"/>
  <c r="F131" i="10" a="1"/>
  <c r="G131" i="10" a="1"/>
  <c r="S131" i="10" a="1"/>
  <c r="F132" i="10" a="1"/>
  <c r="G132" i="10" a="1"/>
  <c r="S132" i="10" a="1"/>
  <c r="F133" i="10" a="1"/>
  <c r="G133" i="10" a="1"/>
  <c r="S133" i="10" a="1"/>
  <c r="F134" i="10" a="1"/>
  <c r="G134" i="10" a="1"/>
  <c r="S134" i="10" a="1"/>
  <c r="F135" i="10" a="1"/>
  <c r="G135" i="10" a="1"/>
  <c r="S135" i="10" a="1"/>
  <c r="F136" i="10" a="1"/>
  <c r="G136" i="10" a="1"/>
  <c r="S136" i="10" a="1"/>
  <c r="F137" i="10" a="1"/>
  <c r="G137" i="10" a="1"/>
  <c r="S137" i="10" a="1"/>
  <c r="F138" i="10" a="1"/>
  <c r="G138" i="10" a="1"/>
  <c r="S138" i="10" a="1"/>
  <c r="F139" i="10" a="1"/>
  <c r="G139" i="10" a="1"/>
  <c r="S139" i="10" a="1"/>
  <c r="F140" i="10" a="1"/>
  <c r="G140" i="10" a="1"/>
  <c r="J140" i="10"/>
  <c r="S140" i="10" a="1"/>
  <c r="F141" i="10" a="1"/>
  <c r="G141" i="10" a="1"/>
  <c r="S141" i="10" a="1"/>
  <c r="F142" i="10" a="1"/>
  <c r="G142" i="10" a="1"/>
  <c r="S142" i="10" a="1"/>
  <c r="F143" i="10" a="1"/>
  <c r="G143" i="10" a="1"/>
  <c r="S143" i="10" a="1"/>
  <c r="F144" i="10" a="1"/>
  <c r="G144" i="10" a="1"/>
  <c r="S144" i="10" a="1"/>
  <c r="F145" i="10" a="1"/>
  <c r="G145" i="10" a="1"/>
  <c r="S145" i="10" a="1"/>
  <c r="F146" i="10" a="1"/>
  <c r="G146" i="10" a="1"/>
  <c r="S146" i="10" a="1"/>
  <c r="F147" i="10" a="1"/>
  <c r="G147" i="10" a="1"/>
  <c r="S147" i="10" a="1"/>
  <c r="F148" i="10" a="1"/>
  <c r="G148" i="10" a="1"/>
  <c r="S148" i="10" a="1"/>
  <c r="F149" i="10" a="1"/>
  <c r="G149" i="10" a="1"/>
  <c r="S149" i="10" a="1"/>
  <c r="F150" i="10" a="1"/>
  <c r="G150" i="10" a="1"/>
  <c r="J150" i="10"/>
  <c r="S150" i="10" a="1"/>
  <c r="F151" i="10" a="1"/>
  <c r="G151" i="10" a="1"/>
  <c r="S151" i="10" a="1"/>
  <c r="F152" i="10" a="1"/>
  <c r="G152" i="10" a="1"/>
  <c r="S152" i="10" a="1"/>
  <c r="F153" i="10" a="1"/>
  <c r="G153" i="10" a="1"/>
  <c r="S153" i="10" a="1"/>
  <c r="F154" i="10" a="1"/>
  <c r="G154" i="10" a="1"/>
  <c r="S154" i="10" a="1"/>
  <c r="F155" i="10" a="1"/>
  <c r="G155" i="10" a="1"/>
  <c r="S155" i="10" a="1"/>
  <c r="F156" i="10" a="1"/>
  <c r="G156" i="10" a="1"/>
  <c r="S156" i="10" a="1"/>
  <c r="F157" i="10" a="1"/>
  <c r="G157" i="10" a="1"/>
  <c r="S157" i="10" a="1"/>
  <c r="F158" i="10" a="1"/>
  <c r="G158" i="10" a="1"/>
  <c r="S158" i="10" a="1"/>
  <c r="F159" i="10" a="1"/>
  <c r="G159" i="10" a="1"/>
  <c r="S159" i="10" a="1"/>
  <c r="F40" i="10" a="1"/>
  <c r="G40" i="10" a="1"/>
  <c r="J40" i="10"/>
  <c r="S40" i="10" a="1"/>
  <c r="F41" i="10" a="1"/>
  <c r="G41" i="10" a="1"/>
  <c r="S41" i="10" a="1"/>
  <c r="F42" i="10" a="1"/>
  <c r="G42" i="10" a="1"/>
  <c r="S42" i="10" a="1"/>
  <c r="F43" i="10" a="1"/>
  <c r="G43" i="10" a="1"/>
  <c r="S43" i="10" a="1"/>
  <c r="F44" i="10" a="1"/>
  <c r="G44" i="10" a="1"/>
  <c r="S44" i="10" a="1"/>
  <c r="F45" i="10" a="1"/>
  <c r="G45" i="10" a="1"/>
  <c r="S45" i="10" a="1"/>
  <c r="F46" i="10" a="1"/>
  <c r="G46" i="10" a="1"/>
  <c r="S46" i="10" a="1"/>
  <c r="F47" i="10" a="1"/>
  <c r="G47" i="10" a="1"/>
  <c r="S47" i="10" a="1"/>
  <c r="F48" i="10" a="1"/>
  <c r="G48" i="10" a="1"/>
  <c r="S48" i="10" a="1"/>
  <c r="F49" i="10" a="1"/>
  <c r="G49" i="10" a="1"/>
  <c r="S49" i="10" a="1"/>
  <c r="F50" i="10" a="1"/>
  <c r="G50" i="10" a="1"/>
  <c r="J50" i="10"/>
  <c r="S50" i="10" a="1"/>
  <c r="F51" i="10" a="1"/>
  <c r="G51" i="10" a="1"/>
  <c r="S51" i="10" a="1"/>
  <c r="F52" i="10" a="1"/>
  <c r="G52" i="10" a="1"/>
  <c r="S52" i="10" a="1"/>
  <c r="F53" i="10" a="1"/>
  <c r="G53" i="10" a="1"/>
  <c r="S53" i="10" a="1"/>
  <c r="F54" i="10" a="1"/>
  <c r="G54" i="10" a="1"/>
  <c r="S54" i="10" a="1"/>
  <c r="F55" i="10" a="1"/>
  <c r="G55" i="10" a="1"/>
  <c r="S55" i="10" a="1"/>
  <c r="F56" i="10" a="1"/>
  <c r="G56" i="10" a="1"/>
  <c r="S56" i="10" a="1"/>
  <c r="F57" i="10" a="1"/>
  <c r="G57" i="10" a="1"/>
  <c r="S57" i="10" a="1"/>
  <c r="F58" i="10" a="1"/>
  <c r="G58" i="10" a="1"/>
  <c r="S58" i="10" a="1"/>
  <c r="F59" i="10" a="1"/>
  <c r="G59" i="10" a="1"/>
  <c r="S59" i="10" a="1"/>
  <c r="F60" i="10" a="1"/>
  <c r="G60" i="10" a="1"/>
  <c r="J60" i="10"/>
  <c r="S60" i="10" a="1"/>
  <c r="F61" i="10" a="1"/>
  <c r="G61" i="10" a="1"/>
  <c r="S61" i="10" a="1"/>
  <c r="F62" i="10" a="1"/>
  <c r="G62" i="10" a="1"/>
  <c r="S62" i="10" a="1"/>
  <c r="F63" i="10" a="1"/>
  <c r="G63" i="10" a="1"/>
  <c r="S63" i="10" a="1"/>
  <c r="F64" i="10" a="1"/>
  <c r="G64" i="10" a="1"/>
  <c r="S64" i="10" a="1"/>
  <c r="F65" i="10" a="1"/>
  <c r="G65" i="10" a="1"/>
  <c r="S65" i="10" a="1"/>
  <c r="F66" i="10" a="1"/>
  <c r="G66" i="10" a="1"/>
  <c r="S66" i="10" a="1"/>
  <c r="F67" i="10" a="1"/>
  <c r="G67" i="10" a="1"/>
  <c r="S67" i="10" a="1"/>
  <c r="F68" i="10" a="1"/>
  <c r="G68" i="10" a="1"/>
  <c r="S68" i="10" a="1"/>
  <c r="F69" i="10" a="1"/>
  <c r="G69" i="10" a="1"/>
  <c r="S69" i="10" a="1"/>
  <c r="F70" i="10" a="1"/>
  <c r="G70" i="10" a="1"/>
  <c r="J70" i="10"/>
  <c r="S70" i="10" a="1"/>
  <c r="F71" i="10" a="1"/>
  <c r="G71" i="10" a="1"/>
  <c r="S71" i="10" a="1"/>
  <c r="F72" i="10" a="1"/>
  <c r="G72" i="10" a="1"/>
  <c r="S72" i="10" a="1"/>
  <c r="F73" i="10" a="1"/>
  <c r="G73" i="10" a="1"/>
  <c r="S73" i="10" a="1"/>
  <c r="F74" i="10" a="1"/>
  <c r="G74" i="10" a="1"/>
  <c r="S74" i="10" a="1"/>
  <c r="F75" i="10" a="1"/>
  <c r="G75" i="10" a="1"/>
  <c r="S75" i="10" a="1"/>
  <c r="F76" i="10" a="1"/>
  <c r="G76" i="10" a="1"/>
  <c r="S76" i="10" a="1"/>
  <c r="F77" i="10" a="1"/>
  <c r="G77" i="10" a="1"/>
  <c r="S77" i="10" a="1"/>
  <c r="F78" i="10" a="1"/>
  <c r="G78" i="10" a="1"/>
  <c r="S78" i="10" a="1"/>
  <c r="F79" i="10" a="1"/>
  <c r="G79" i="10" a="1"/>
  <c r="S79" i="10" a="1"/>
  <c r="F80" i="10" a="1"/>
  <c r="G80" i="10" a="1"/>
  <c r="J80" i="10"/>
  <c r="S80" i="10" a="1"/>
  <c r="F81" i="10" a="1"/>
  <c r="G81" i="10" a="1"/>
  <c r="S81" i="10" a="1"/>
  <c r="F82" i="10" a="1"/>
  <c r="G82" i="10" a="1"/>
  <c r="S82" i="10" a="1"/>
  <c r="F83" i="10" a="1"/>
  <c r="G83" i="10" a="1"/>
  <c r="S83" i="10" a="1"/>
  <c r="F84" i="10" a="1"/>
  <c r="G84" i="10" a="1"/>
  <c r="S84" i="10" a="1"/>
  <c r="F85" i="10" a="1"/>
  <c r="G85" i="10" a="1"/>
  <c r="S85" i="10" a="1"/>
  <c r="F86" i="10" a="1"/>
  <c r="G86" i="10" a="1"/>
  <c r="S86" i="10" a="1"/>
  <c r="F87" i="10" a="1"/>
  <c r="G87" i="10" a="1"/>
  <c r="S87" i="10" a="1"/>
  <c r="F88" i="10" a="1"/>
  <c r="G88" i="10" a="1"/>
  <c r="S88" i="10" a="1"/>
  <c r="F89" i="10" a="1"/>
  <c r="G89" i="10" a="1"/>
  <c r="S89" i="10" a="1"/>
  <c r="F90" i="10" a="1"/>
  <c r="G90" i="10" a="1"/>
  <c r="J90" i="10"/>
  <c r="S90" i="10" a="1"/>
  <c r="F91" i="10" a="1"/>
  <c r="G91" i="10" a="1"/>
  <c r="S91" i="10" a="1"/>
  <c r="F92" i="10" a="1"/>
  <c r="G92" i="10" a="1"/>
  <c r="S92" i="10" a="1"/>
  <c r="F93" i="10" a="1"/>
  <c r="G93" i="10" a="1"/>
  <c r="S93" i="10" a="1"/>
  <c r="F94" i="10" a="1"/>
  <c r="G94" i="10" a="1"/>
  <c r="S94" i="10" a="1"/>
  <c r="F95" i="10" a="1"/>
  <c r="G95" i="10" a="1"/>
  <c r="S95" i="10" a="1"/>
  <c r="F96" i="10" a="1"/>
  <c r="G96" i="10" a="1"/>
  <c r="S96" i="10" a="1"/>
  <c r="F97" i="10" a="1"/>
  <c r="G97" i="10" a="1"/>
  <c r="S97" i="10" a="1"/>
  <c r="F98" i="10" a="1"/>
  <c r="G98" i="10" a="1"/>
  <c r="S98" i="10" a="1"/>
  <c r="F99" i="10" a="1"/>
  <c r="G99" i="10" a="1"/>
  <c r="S99" i="10" a="1"/>
  <c r="J40" i="8"/>
  <c r="J50" i="8"/>
  <c r="J60" i="8"/>
  <c r="J70" i="8"/>
  <c r="J80" i="8"/>
  <c r="J90" i="8"/>
  <c r="J100" i="8"/>
  <c r="J110" i="8"/>
  <c r="J120" i="8"/>
  <c r="J130" i="8"/>
  <c r="J140" i="8"/>
  <c r="J150" i="8"/>
  <c r="J160" i="8"/>
  <c r="J170" i="8"/>
  <c r="J180" i="8"/>
  <c r="J190" i="8"/>
  <c r="J200" i="8"/>
  <c r="J210" i="8"/>
  <c r="J220" i="8"/>
  <c r="J230" i="8"/>
  <c r="F220" i="8" a="1"/>
  <c r="G220" i="8" a="1"/>
  <c r="S220" i="8" a="1"/>
  <c r="F221" i="8" a="1"/>
  <c r="G221" i="8" a="1"/>
  <c r="S221" i="8" a="1"/>
  <c r="F222" i="8" a="1"/>
  <c r="G222" i="8" a="1"/>
  <c r="S222" i="8" a="1"/>
  <c r="F223" i="8" a="1"/>
  <c r="G223" i="8" a="1"/>
  <c r="S223" i="8" a="1"/>
  <c r="F224" i="8" a="1"/>
  <c r="G224" i="8" a="1"/>
  <c r="S224" i="8" a="1"/>
  <c r="F225" i="8" a="1"/>
  <c r="G225" i="8" a="1"/>
  <c r="S225" i="8" a="1"/>
  <c r="F226" i="8" a="1"/>
  <c r="G226" i="8" a="1"/>
  <c r="S226" i="8" a="1"/>
  <c r="F227" i="8" a="1"/>
  <c r="G227" i="8" a="1"/>
  <c r="S227" i="8" a="1"/>
  <c r="F228" i="8" a="1"/>
  <c r="G228" i="8" a="1"/>
  <c r="S228" i="8" a="1"/>
  <c r="F229" i="8" a="1"/>
  <c r="G229" i="8" a="1"/>
  <c r="S229" i="8" a="1"/>
  <c r="F230" i="8" a="1"/>
  <c r="G230" i="8" a="1"/>
  <c r="S230" i="8" a="1"/>
  <c r="F231" i="8" a="1"/>
  <c r="G231" i="8" a="1"/>
  <c r="S231" i="8" a="1"/>
  <c r="F232" i="8" a="1"/>
  <c r="G232" i="8" a="1"/>
  <c r="S232" i="8" a="1"/>
  <c r="F233" i="8" a="1"/>
  <c r="G233" i="8" a="1"/>
  <c r="S233" i="8" a="1"/>
  <c r="F234" i="8" a="1"/>
  <c r="G234" i="8" a="1"/>
  <c r="S234" i="8" a="1"/>
  <c r="F235" i="8" a="1"/>
  <c r="G235" i="8" a="1"/>
  <c r="S235" i="8" a="1"/>
  <c r="F236" i="8" a="1"/>
  <c r="G236" i="8" a="1"/>
  <c r="S236" i="8" a="1"/>
  <c r="F237" i="8" a="1"/>
  <c r="G237" i="8" a="1"/>
  <c r="S237" i="8" a="1"/>
  <c r="F238" i="8" a="1"/>
  <c r="G238" i="8" a="1"/>
  <c r="S238" i="8" a="1"/>
  <c r="F239" i="8" a="1"/>
  <c r="G239" i="8" a="1"/>
  <c r="S239" i="8" a="1"/>
  <c r="F160" i="8" a="1"/>
  <c r="G160" i="8" a="1"/>
  <c r="S160" i="8" a="1"/>
  <c r="F161" i="8" a="1"/>
  <c r="G161" i="8" a="1"/>
  <c r="S161" i="8" a="1"/>
  <c r="F162" i="8" a="1"/>
  <c r="G162" i="8" a="1"/>
  <c r="S162" i="8" a="1"/>
  <c r="F163" i="8" a="1"/>
  <c r="G163" i="8" a="1"/>
  <c r="S163" i="8" a="1"/>
  <c r="F164" i="8" a="1"/>
  <c r="G164" i="8" a="1"/>
  <c r="S164" i="8" a="1"/>
  <c r="F165" i="8" a="1"/>
  <c r="G165" i="8" a="1"/>
  <c r="S165" i="8" a="1"/>
  <c r="F166" i="8" a="1"/>
  <c r="G166" i="8" a="1"/>
  <c r="S166" i="8" a="1"/>
  <c r="F167" i="8" a="1"/>
  <c r="G167" i="8" a="1"/>
  <c r="S167" i="8" a="1"/>
  <c r="F168" i="8" a="1"/>
  <c r="G168" i="8" a="1"/>
  <c r="S168" i="8" a="1"/>
  <c r="F169" i="8" a="1"/>
  <c r="G169" i="8" a="1"/>
  <c r="S169" i="8" a="1"/>
  <c r="F170" i="8" a="1"/>
  <c r="G170" i="8" a="1"/>
  <c r="S170" i="8" a="1"/>
  <c r="F171" i="8" a="1"/>
  <c r="G171" i="8" a="1"/>
  <c r="S171" i="8" a="1"/>
  <c r="F172" i="8" a="1"/>
  <c r="G172" i="8" a="1"/>
  <c r="S172" i="8" a="1"/>
  <c r="F173" i="8" a="1"/>
  <c r="G173" i="8" a="1"/>
  <c r="S173" i="8" a="1"/>
  <c r="F174" i="8" a="1"/>
  <c r="G174" i="8" a="1"/>
  <c r="S174" i="8" a="1"/>
  <c r="F175" i="8" a="1"/>
  <c r="G175" i="8" a="1"/>
  <c r="S175" i="8" a="1"/>
  <c r="F176" i="8" a="1"/>
  <c r="G176" i="8" a="1"/>
  <c r="S176" i="8" a="1"/>
  <c r="F177" i="8" a="1"/>
  <c r="G177" i="8" a="1"/>
  <c r="S177" i="8" a="1"/>
  <c r="F178" i="8" a="1"/>
  <c r="G178" i="8" a="1"/>
  <c r="S178" i="8" a="1"/>
  <c r="F179" i="8" a="1"/>
  <c r="G179" i="8" a="1"/>
  <c r="S179" i="8" a="1"/>
  <c r="F180" i="8" a="1"/>
  <c r="G180" i="8" a="1"/>
  <c r="S180" i="8" a="1"/>
  <c r="F181" i="8" a="1"/>
  <c r="G181" i="8" a="1"/>
  <c r="S181" i="8" a="1"/>
  <c r="F182" i="8" a="1"/>
  <c r="G182" i="8" a="1"/>
  <c r="S182" i="8" a="1"/>
  <c r="F183" i="8" a="1"/>
  <c r="G183" i="8" a="1"/>
  <c r="S183" i="8" a="1"/>
  <c r="F184" i="8" a="1"/>
  <c r="G184" i="8" a="1"/>
  <c r="S184" i="8" a="1"/>
  <c r="F185" i="8" a="1"/>
  <c r="G185" i="8" a="1"/>
  <c r="S185" i="8" a="1"/>
  <c r="F186" i="8" a="1"/>
  <c r="G186" i="8" a="1"/>
  <c r="S186" i="8" a="1"/>
  <c r="F187" i="8" a="1"/>
  <c r="G187" i="8" a="1"/>
  <c r="S187" i="8" a="1"/>
  <c r="F188" i="8" a="1"/>
  <c r="G188" i="8" a="1"/>
  <c r="S188" i="8" a="1"/>
  <c r="F189" i="8" a="1"/>
  <c r="G189" i="8" a="1"/>
  <c r="S189" i="8" a="1"/>
  <c r="F190" i="8" a="1"/>
  <c r="G190" i="8" a="1"/>
  <c r="S190" i="8" a="1"/>
  <c r="F191" i="8" a="1"/>
  <c r="G191" i="8" a="1"/>
  <c r="S191" i="8" a="1"/>
  <c r="F192" i="8" a="1"/>
  <c r="G192" i="8" a="1"/>
  <c r="S192" i="8" a="1"/>
  <c r="F193" i="8" a="1"/>
  <c r="G193" i="8" a="1"/>
  <c r="S193" i="8" a="1"/>
  <c r="F194" i="8" a="1"/>
  <c r="G194" i="8" a="1"/>
  <c r="S194" i="8" a="1"/>
  <c r="F195" i="8" a="1"/>
  <c r="G195" i="8" a="1"/>
  <c r="S195" i="8" a="1"/>
  <c r="F196" i="8" a="1"/>
  <c r="G196" i="8" a="1"/>
  <c r="S196" i="8" a="1"/>
  <c r="F197" i="8" a="1"/>
  <c r="G197" i="8" a="1"/>
  <c r="S197" i="8" a="1"/>
  <c r="F198" i="8" a="1"/>
  <c r="G198" i="8" a="1"/>
  <c r="S198" i="8" a="1"/>
  <c r="F199" i="8" a="1"/>
  <c r="G199" i="8" a="1"/>
  <c r="S199" i="8" a="1"/>
  <c r="F200" i="8" a="1"/>
  <c r="G200" i="8" a="1"/>
  <c r="S200" i="8" a="1"/>
  <c r="F201" i="8" a="1"/>
  <c r="G201" i="8" a="1"/>
  <c r="S201" i="8" a="1"/>
  <c r="F202" i="8" a="1"/>
  <c r="G202" i="8" a="1"/>
  <c r="S202" i="8" a="1"/>
  <c r="F203" i="8" a="1"/>
  <c r="G203" i="8" a="1"/>
  <c r="S203" i="8" a="1"/>
  <c r="F204" i="8" a="1"/>
  <c r="G204" i="8" a="1"/>
  <c r="S204" i="8" a="1"/>
  <c r="F205" i="8" a="1"/>
  <c r="G205" i="8" a="1"/>
  <c r="S205" i="8" a="1"/>
  <c r="F206" i="8" a="1"/>
  <c r="G206" i="8" a="1"/>
  <c r="S206" i="8" a="1"/>
  <c r="F207" i="8" a="1"/>
  <c r="G207" i="8" a="1"/>
  <c r="S207" i="8" a="1"/>
  <c r="F208" i="8" a="1"/>
  <c r="G208" i="8" a="1"/>
  <c r="S208" i="8" a="1"/>
  <c r="F209" i="8" a="1"/>
  <c r="G209" i="8" a="1"/>
  <c r="S209" i="8" a="1"/>
  <c r="F210" i="8" a="1"/>
  <c r="G210" i="8" a="1"/>
  <c r="S210" i="8" a="1"/>
  <c r="F211" i="8" a="1"/>
  <c r="G211" i="8" a="1"/>
  <c r="S211" i="8" a="1"/>
  <c r="F212" i="8" a="1"/>
  <c r="G212" i="8" a="1"/>
  <c r="S212" i="8" a="1"/>
  <c r="F213" i="8" a="1"/>
  <c r="G213" i="8" a="1"/>
  <c r="S213" i="8" a="1"/>
  <c r="F214" i="8" a="1"/>
  <c r="G214" i="8" a="1"/>
  <c r="S214" i="8" a="1"/>
  <c r="F215" i="8" a="1"/>
  <c r="G215" i="8" a="1"/>
  <c r="S215" i="8" a="1"/>
  <c r="F216" i="8" a="1"/>
  <c r="G216" i="8" a="1"/>
  <c r="S216" i="8" a="1"/>
  <c r="F217" i="8" a="1"/>
  <c r="G217" i="8" a="1"/>
  <c r="S217" i="8" a="1"/>
  <c r="F218" i="8" a="1"/>
  <c r="G218" i="8" a="1"/>
  <c r="S218" i="8" a="1"/>
  <c r="F219" i="8" a="1"/>
  <c r="G219" i="8" a="1"/>
  <c r="S219" i="8" a="1"/>
  <c r="F100" i="8" a="1"/>
  <c r="G100" i="8" a="1"/>
  <c r="S100" i="8" a="1"/>
  <c r="F101" i="8" a="1"/>
  <c r="G101" i="8" a="1"/>
  <c r="S101" i="8" a="1"/>
  <c r="F102" i="8" a="1"/>
  <c r="G102" i="8" a="1"/>
  <c r="S102" i="8" a="1"/>
  <c r="F103" i="8" a="1"/>
  <c r="G103" i="8" a="1"/>
  <c r="S103" i="8" a="1"/>
  <c r="F104" i="8" a="1"/>
  <c r="G104" i="8" a="1"/>
  <c r="S104" i="8" a="1"/>
  <c r="F105" i="8" a="1"/>
  <c r="G105" i="8" a="1"/>
  <c r="S105" i="8" a="1"/>
  <c r="F106" i="8" a="1"/>
  <c r="G106" i="8" a="1"/>
  <c r="S106" i="8" a="1"/>
  <c r="F107" i="8" a="1"/>
  <c r="G107" i="8" a="1"/>
  <c r="S107" i="8" a="1"/>
  <c r="F108" i="8" a="1"/>
  <c r="G108" i="8" a="1"/>
  <c r="S108" i="8" a="1"/>
  <c r="F109" i="8" a="1"/>
  <c r="G109" i="8" a="1"/>
  <c r="S109" i="8" a="1"/>
  <c r="F110" i="8" a="1"/>
  <c r="G110" i="8" a="1"/>
  <c r="S110" i="8" a="1"/>
  <c r="F111" i="8" a="1"/>
  <c r="G111" i="8" a="1"/>
  <c r="S111" i="8" a="1"/>
  <c r="F112" i="8" a="1"/>
  <c r="G112" i="8" a="1"/>
  <c r="S112" i="8" a="1"/>
  <c r="F113" i="8" a="1"/>
  <c r="G113" i="8" a="1"/>
  <c r="S113" i="8" a="1"/>
  <c r="F114" i="8" a="1"/>
  <c r="G114" i="8" a="1"/>
  <c r="S114" i="8" a="1"/>
  <c r="F115" i="8" a="1"/>
  <c r="G115" i="8" a="1"/>
  <c r="S115" i="8" a="1"/>
  <c r="F116" i="8" a="1"/>
  <c r="G116" i="8" a="1"/>
  <c r="S116" i="8" a="1"/>
  <c r="F117" i="8" a="1"/>
  <c r="G117" i="8" a="1"/>
  <c r="S117" i="8" a="1"/>
  <c r="F118" i="8" a="1"/>
  <c r="G118" i="8" a="1"/>
  <c r="S118" i="8" a="1"/>
  <c r="F119" i="8" a="1"/>
  <c r="G119" i="8" a="1"/>
  <c r="S119" i="8" a="1"/>
  <c r="F120" i="8" a="1"/>
  <c r="G120" i="8" a="1"/>
  <c r="S120" i="8" a="1"/>
  <c r="F121" i="8" a="1"/>
  <c r="G121" i="8" a="1"/>
  <c r="S121" i="8" a="1"/>
  <c r="F122" i="8" a="1"/>
  <c r="G122" i="8" a="1"/>
  <c r="S122" i="8" a="1"/>
  <c r="F123" i="8" a="1"/>
  <c r="G123" i="8" a="1"/>
  <c r="S123" i="8" a="1"/>
  <c r="F124" i="8" a="1"/>
  <c r="G124" i="8" a="1"/>
  <c r="S124" i="8" a="1"/>
  <c r="F125" i="8" a="1"/>
  <c r="G125" i="8" a="1"/>
  <c r="S125" i="8" a="1"/>
  <c r="F126" i="8" a="1"/>
  <c r="G126" i="8" a="1"/>
  <c r="S126" i="8" a="1"/>
  <c r="F127" i="8" a="1"/>
  <c r="G127" i="8" a="1"/>
  <c r="S127" i="8" a="1"/>
  <c r="F128" i="8" a="1"/>
  <c r="G128" i="8" a="1"/>
  <c r="S128" i="8" a="1"/>
  <c r="F129" i="8" a="1"/>
  <c r="G129" i="8" a="1"/>
  <c r="S129" i="8" a="1"/>
  <c r="F130" i="8" a="1"/>
  <c r="G130" i="8" a="1"/>
  <c r="S130" i="8" a="1"/>
  <c r="F131" i="8" a="1"/>
  <c r="G131" i="8" a="1"/>
  <c r="S131" i="8" a="1"/>
  <c r="F132" i="8" a="1"/>
  <c r="G132" i="8" a="1"/>
  <c r="S132" i="8" a="1"/>
  <c r="F133" i="8" a="1"/>
  <c r="G133" i="8" a="1"/>
  <c r="S133" i="8" a="1"/>
  <c r="F134" i="8" a="1"/>
  <c r="G134" i="8" a="1"/>
  <c r="S134" i="8" a="1"/>
  <c r="F135" i="8" a="1"/>
  <c r="G135" i="8" a="1"/>
  <c r="S135" i="8" a="1"/>
  <c r="F136" i="8" a="1"/>
  <c r="G136" i="8" a="1"/>
  <c r="S136" i="8" a="1"/>
  <c r="F137" i="8" a="1"/>
  <c r="G137" i="8" a="1"/>
  <c r="S137" i="8" a="1"/>
  <c r="F138" i="8" a="1"/>
  <c r="G138" i="8" a="1"/>
  <c r="S138" i="8" a="1"/>
  <c r="F139" i="8" a="1"/>
  <c r="G139" i="8" a="1"/>
  <c r="S139" i="8" a="1"/>
  <c r="F140" i="8" a="1"/>
  <c r="G140" i="8" a="1"/>
  <c r="S140" i="8" a="1"/>
  <c r="F141" i="8" a="1"/>
  <c r="G141" i="8" a="1"/>
  <c r="S141" i="8" a="1"/>
  <c r="F142" i="8" a="1"/>
  <c r="G142" i="8" a="1"/>
  <c r="S142" i="8" a="1"/>
  <c r="F143" i="8" a="1"/>
  <c r="G143" i="8" a="1"/>
  <c r="S143" i="8" a="1"/>
  <c r="F144" i="8" a="1"/>
  <c r="G144" i="8" a="1"/>
  <c r="S144" i="8" a="1"/>
  <c r="F145" i="8" a="1"/>
  <c r="G145" i="8" a="1"/>
  <c r="S145" i="8" a="1"/>
  <c r="F146" i="8" a="1"/>
  <c r="G146" i="8" a="1"/>
  <c r="S146" i="8" a="1"/>
  <c r="F147" i="8" a="1"/>
  <c r="G147" i="8" a="1"/>
  <c r="S147" i="8" a="1"/>
  <c r="F148" i="8" a="1"/>
  <c r="G148" i="8" a="1"/>
  <c r="S148" i="8" a="1"/>
  <c r="F149" i="8" a="1"/>
  <c r="G149" i="8" a="1"/>
  <c r="S149" i="8" a="1"/>
  <c r="F150" i="8" a="1"/>
  <c r="G150" i="8" a="1"/>
  <c r="S150" i="8" a="1"/>
  <c r="F151" i="8" a="1"/>
  <c r="G151" i="8" a="1"/>
  <c r="S151" i="8" a="1"/>
  <c r="F152" i="8" a="1"/>
  <c r="G152" i="8" a="1"/>
  <c r="S152" i="8" a="1"/>
  <c r="F153" i="8" a="1"/>
  <c r="G153" i="8" a="1"/>
  <c r="S153" i="8" a="1"/>
  <c r="F154" i="8" a="1"/>
  <c r="G154" i="8" a="1"/>
  <c r="S154" i="8" a="1"/>
  <c r="F155" i="8" a="1"/>
  <c r="G155" i="8" a="1"/>
  <c r="S155" i="8" a="1"/>
  <c r="F156" i="8" a="1"/>
  <c r="G156" i="8" a="1"/>
  <c r="S156" i="8" a="1"/>
  <c r="F157" i="8" a="1"/>
  <c r="G157" i="8" a="1"/>
  <c r="S157" i="8" a="1"/>
  <c r="F158" i="8" a="1"/>
  <c r="G158" i="8" a="1"/>
  <c r="S158" i="8" a="1"/>
  <c r="F159" i="8" a="1"/>
  <c r="G159" i="8" a="1"/>
  <c r="S159" i="8" a="1"/>
  <c r="F40" i="8" a="1"/>
  <c r="G40" i="8" a="1"/>
  <c r="S40" i="8" a="1"/>
  <c r="F41" i="8" a="1"/>
  <c r="G41" i="8" a="1"/>
  <c r="S41" i="8" a="1"/>
  <c r="F42" i="8" a="1"/>
  <c r="G42" i="8" a="1"/>
  <c r="S42" i="8" a="1"/>
  <c r="F43" i="8" a="1"/>
  <c r="G43" i="8" a="1"/>
  <c r="S43" i="8" a="1"/>
  <c r="F44" i="8" a="1"/>
  <c r="G44" i="8" a="1"/>
  <c r="S44" i="8" a="1"/>
  <c r="F45" i="8" a="1"/>
  <c r="G45" i="8" a="1"/>
  <c r="S45" i="8" a="1"/>
  <c r="F46" i="8" a="1"/>
  <c r="G46" i="8" a="1"/>
  <c r="S46" i="8" a="1"/>
  <c r="F47" i="8" a="1"/>
  <c r="G47" i="8" a="1"/>
  <c r="S47" i="8" a="1"/>
  <c r="F48" i="8" a="1"/>
  <c r="G48" i="8" a="1"/>
  <c r="S48" i="8" a="1"/>
  <c r="F49" i="8" a="1"/>
  <c r="G49" i="8" a="1"/>
  <c r="S49" i="8" a="1"/>
  <c r="F50" i="8" a="1"/>
  <c r="G50" i="8" a="1"/>
  <c r="S50" i="8" a="1"/>
  <c r="F51" i="8" a="1"/>
  <c r="G51" i="8" a="1"/>
  <c r="S51" i="8" a="1"/>
  <c r="F52" i="8" a="1"/>
  <c r="G52" i="8" a="1"/>
  <c r="S52" i="8" a="1"/>
  <c r="F53" i="8" a="1"/>
  <c r="G53" i="8" a="1"/>
  <c r="S53" i="8" a="1"/>
  <c r="F54" i="8" a="1"/>
  <c r="G54" i="8" a="1"/>
  <c r="S54" i="8" a="1"/>
  <c r="F55" i="8" a="1"/>
  <c r="G55" i="8" a="1"/>
  <c r="S55" i="8" a="1"/>
  <c r="F56" i="8" a="1"/>
  <c r="G56" i="8" a="1"/>
  <c r="S56" i="8" a="1"/>
  <c r="F57" i="8" a="1"/>
  <c r="G57" i="8" a="1"/>
  <c r="S57" i="8" a="1"/>
  <c r="F58" i="8" a="1"/>
  <c r="G58" i="8" a="1"/>
  <c r="S58" i="8" a="1"/>
  <c r="F59" i="8" a="1"/>
  <c r="G59" i="8" a="1"/>
  <c r="S59" i="8" a="1"/>
  <c r="F60" i="8" a="1"/>
  <c r="G60" i="8" a="1"/>
  <c r="S60" i="8" a="1"/>
  <c r="F61" i="8" a="1"/>
  <c r="G61" i="8" a="1"/>
  <c r="S61" i="8" a="1"/>
  <c r="F62" i="8" a="1"/>
  <c r="G62" i="8" a="1"/>
  <c r="S62" i="8" a="1"/>
  <c r="F63" i="8" a="1"/>
  <c r="G63" i="8" a="1"/>
  <c r="S63" i="8" a="1"/>
  <c r="F64" i="8" a="1"/>
  <c r="G64" i="8" a="1"/>
  <c r="S64" i="8" a="1"/>
  <c r="F65" i="8" a="1"/>
  <c r="G65" i="8" a="1"/>
  <c r="S65" i="8" a="1"/>
  <c r="F66" i="8" a="1"/>
  <c r="G66" i="8" a="1"/>
  <c r="S66" i="8" a="1"/>
  <c r="F67" i="8" a="1"/>
  <c r="G67" i="8" a="1"/>
  <c r="S67" i="8" a="1"/>
  <c r="F68" i="8" a="1"/>
  <c r="G68" i="8" a="1"/>
  <c r="S68" i="8" a="1"/>
  <c r="F69" i="8" a="1"/>
  <c r="G69" i="8" a="1"/>
  <c r="S69" i="8" a="1"/>
  <c r="F70" i="8" a="1"/>
  <c r="G70" i="8" a="1"/>
  <c r="S70" i="8" a="1"/>
  <c r="F71" i="8" a="1"/>
  <c r="G71" i="8" a="1"/>
  <c r="S71" i="8" a="1"/>
  <c r="F72" i="8" a="1"/>
  <c r="G72" i="8" a="1"/>
  <c r="S72" i="8" a="1"/>
  <c r="F73" i="8" a="1"/>
  <c r="G73" i="8" a="1"/>
  <c r="S73" i="8" a="1"/>
  <c r="F74" i="8" a="1"/>
  <c r="G74" i="8" a="1"/>
  <c r="S74" i="8" a="1"/>
  <c r="F75" i="8" a="1"/>
  <c r="G75" i="8" a="1"/>
  <c r="S75" i="8" a="1"/>
  <c r="F76" i="8" a="1"/>
  <c r="G76" i="8" a="1"/>
  <c r="S76" i="8" a="1"/>
  <c r="F77" i="8" a="1"/>
  <c r="G77" i="8" a="1"/>
  <c r="S77" i="8" a="1"/>
  <c r="F78" i="8" a="1"/>
  <c r="G78" i="8" a="1"/>
  <c r="S78" i="8" a="1"/>
  <c r="F79" i="8" a="1"/>
  <c r="G79" i="8" a="1"/>
  <c r="S79" i="8" a="1"/>
  <c r="F80" i="8" a="1"/>
  <c r="G80" i="8" a="1"/>
  <c r="S80" i="8" a="1"/>
  <c r="F81" i="8" a="1"/>
  <c r="G81" i="8" a="1"/>
  <c r="S81" i="8" a="1"/>
  <c r="F82" i="8" a="1"/>
  <c r="G82" i="8" a="1"/>
  <c r="S82" i="8" a="1"/>
  <c r="F83" i="8" a="1"/>
  <c r="G83" i="8" a="1"/>
  <c r="S83" i="8" a="1"/>
  <c r="F84" i="8" a="1"/>
  <c r="G84" i="8" a="1"/>
  <c r="S84" i="8" a="1"/>
  <c r="F85" i="8" a="1"/>
  <c r="G85" i="8" a="1"/>
  <c r="S85" i="8" a="1"/>
  <c r="F86" i="8" a="1"/>
  <c r="G86" i="8" a="1"/>
  <c r="S86" i="8" a="1"/>
  <c r="F87" i="8" a="1"/>
  <c r="G87" i="8" a="1"/>
  <c r="S87" i="8" a="1"/>
  <c r="F88" i="8" a="1"/>
  <c r="G88" i="8" a="1"/>
  <c r="S88" i="8" a="1"/>
  <c r="F89" i="8" a="1"/>
  <c r="G89" i="8" a="1"/>
  <c r="S89" i="8" a="1"/>
  <c r="F90" i="8" a="1"/>
  <c r="G90" i="8" a="1"/>
  <c r="S90" i="8" a="1"/>
  <c r="F91" i="8" a="1"/>
  <c r="G91" i="8" a="1"/>
  <c r="S91" i="8" a="1"/>
  <c r="F92" i="8" a="1"/>
  <c r="G92" i="8" a="1"/>
  <c r="S92" i="8" a="1"/>
  <c r="F93" i="8" a="1"/>
  <c r="G93" i="8" a="1"/>
  <c r="S93" i="8" a="1"/>
  <c r="F94" i="8" a="1"/>
  <c r="G94" i="8" a="1"/>
  <c r="S94" i="8" a="1"/>
  <c r="F95" i="8" a="1"/>
  <c r="G95" i="8" a="1"/>
  <c r="S95" i="8" a="1"/>
  <c r="F96" i="8" a="1"/>
  <c r="G96" i="8" a="1"/>
  <c r="S96" i="8" a="1"/>
  <c r="F97" i="8" a="1"/>
  <c r="G97" i="8" a="1"/>
  <c r="S97" i="8" a="1"/>
  <c r="F98" i="8" a="1"/>
  <c r="G98" i="8" a="1"/>
  <c r="S98" i="8" a="1"/>
  <c r="F99" i="8" a="1"/>
  <c r="G99" i="8" a="1"/>
  <c r="S99" i="8" a="1"/>
  <c r="Z24" i="10"/>
  <c r="E24" i="10"/>
  <c r="X24" i="10" s="1" a="1"/>
  <c r="D24" i="10"/>
  <c r="C24" i="10"/>
  <c r="B24" i="10"/>
  <c r="A24" i="10"/>
  <c r="Z23" i="10"/>
  <c r="E23" i="10"/>
  <c r="U23" i="10" s="1" a="1"/>
  <c r="D23" i="10"/>
  <c r="C23" i="10"/>
  <c r="B23" i="10"/>
  <c r="A23" i="10"/>
  <c r="Z22" i="10"/>
  <c r="E22" i="10"/>
  <c r="Y22" i="10" s="1" a="1"/>
  <c r="D22" i="10"/>
  <c r="C22" i="10"/>
  <c r="B22" i="10"/>
  <c r="A22" i="10"/>
  <c r="Z21" i="10"/>
  <c r="E21" i="10"/>
  <c r="Q21" i="10" s="1" a="1"/>
  <c r="D21" i="10"/>
  <c r="C21" i="10"/>
  <c r="B21" i="10"/>
  <c r="A21" i="10"/>
  <c r="Z20" i="10"/>
  <c r="E20" i="10"/>
  <c r="D20" i="10"/>
  <c r="C20" i="10"/>
  <c r="B20" i="10"/>
  <c r="A20" i="10"/>
  <c r="Z19" i="10"/>
  <c r="E19" i="10"/>
  <c r="Y19" i="10" s="1" a="1"/>
  <c r="D19" i="10"/>
  <c r="C19" i="10"/>
  <c r="B19" i="10"/>
  <c r="A19" i="10"/>
  <c r="Z18" i="10"/>
  <c r="E18" i="10"/>
  <c r="T18" i="10" s="1" a="1"/>
  <c r="D18" i="10"/>
  <c r="C18" i="10"/>
  <c r="B18" i="10"/>
  <c r="A18" i="10"/>
  <c r="Z17" i="10"/>
  <c r="E17" i="10"/>
  <c r="T17" i="10" s="1" a="1"/>
  <c r="D17" i="10"/>
  <c r="C17" i="10"/>
  <c r="B17" i="10"/>
  <c r="A17" i="10"/>
  <c r="Z16" i="10"/>
  <c r="E16" i="10"/>
  <c r="U16" i="10" s="1" a="1"/>
  <c r="D16" i="10"/>
  <c r="C16" i="10"/>
  <c r="B16" i="10"/>
  <c r="A16" i="10"/>
  <c r="Z15" i="10"/>
  <c r="E15" i="10"/>
  <c r="X15" i="10" s="1" a="1"/>
  <c r="D15" i="10"/>
  <c r="C15" i="10"/>
  <c r="B15" i="10"/>
  <c r="A15" i="10"/>
  <c r="Z14" i="10"/>
  <c r="E14" i="10"/>
  <c r="U14" i="10" s="1" a="1"/>
  <c r="D14" i="10"/>
  <c r="C14" i="10"/>
  <c r="B14" i="10"/>
  <c r="A14" i="10"/>
  <c r="Z13" i="10"/>
  <c r="E13" i="10"/>
  <c r="T13" i="10" s="1" a="1"/>
  <c r="D13" i="10"/>
  <c r="C13" i="10"/>
  <c r="B13" i="10"/>
  <c r="A13" i="10"/>
  <c r="Z12" i="10"/>
  <c r="E12" i="10"/>
  <c r="W12" i="10" s="1" a="1"/>
  <c r="D12" i="10"/>
  <c r="C12" i="10"/>
  <c r="B12" i="10"/>
  <c r="A12" i="10"/>
  <c r="Z11" i="10"/>
  <c r="E11" i="10"/>
  <c r="W11" i="10" s="1" a="1"/>
  <c r="D11" i="10"/>
  <c r="C11" i="10"/>
  <c r="B11" i="10"/>
  <c r="A11" i="10"/>
  <c r="Z10" i="10"/>
  <c r="E10" i="10"/>
  <c r="Q10" i="10" s="1" a="1"/>
  <c r="D10" i="10"/>
  <c r="C10" i="10"/>
  <c r="B10" i="10"/>
  <c r="A10" i="10"/>
  <c r="Z9" i="10"/>
  <c r="E9" i="10"/>
  <c r="V9" i="10" s="1" a="1"/>
  <c r="D9" i="10"/>
  <c r="C9" i="10"/>
  <c r="B9" i="10"/>
  <c r="A9" i="10"/>
  <c r="Z8" i="10"/>
  <c r="E8" i="10"/>
  <c r="Y8" i="10" s="1" a="1"/>
  <c r="D8" i="10"/>
  <c r="C8" i="10"/>
  <c r="B8" i="10"/>
  <c r="A8" i="10"/>
  <c r="Z7" i="10"/>
  <c r="E7" i="10"/>
  <c r="D7" i="10"/>
  <c r="C7" i="10"/>
  <c r="B7" i="10"/>
  <c r="A7" i="10"/>
  <c r="Z6" i="10"/>
  <c r="E6" i="10"/>
  <c r="D6" i="10"/>
  <c r="C6" i="10"/>
  <c r="B6" i="10"/>
  <c r="A6" i="10"/>
  <c r="A5" i="10"/>
  <c r="B5" i="10"/>
  <c r="C5" i="10"/>
  <c r="D5" i="10"/>
  <c r="E5" i="10"/>
  <c r="Z5" i="10"/>
  <c r="Z24" i="8"/>
  <c r="E24" i="8"/>
  <c r="W24" i="8" s="1" a="1"/>
  <c r="D24" i="8"/>
  <c r="C24" i="8"/>
  <c r="B24" i="8"/>
  <c r="A24" i="8"/>
  <c r="Z23" i="8"/>
  <c r="E23" i="8"/>
  <c r="D23" i="8"/>
  <c r="C23" i="8"/>
  <c r="B23" i="8"/>
  <c r="A23" i="8"/>
  <c r="Z22" i="8"/>
  <c r="E22" i="8"/>
  <c r="S22" i="8" s="1" a="1"/>
  <c r="D22" i="8"/>
  <c r="C22" i="8"/>
  <c r="B22" i="8"/>
  <c r="A22" i="8"/>
  <c r="Z21" i="8"/>
  <c r="E21" i="8"/>
  <c r="V21" i="8" s="1" a="1"/>
  <c r="D21" i="8"/>
  <c r="C21" i="8"/>
  <c r="B21" i="8"/>
  <c r="A21" i="8"/>
  <c r="Z20" i="8"/>
  <c r="E20" i="8"/>
  <c r="Y20" i="8" s="1" a="1"/>
  <c r="D20" i="8"/>
  <c r="C20" i="8"/>
  <c r="B20" i="8"/>
  <c r="A20" i="8"/>
  <c r="Z19" i="8"/>
  <c r="E19" i="8"/>
  <c r="S19" i="8" s="1" a="1"/>
  <c r="D19" i="8"/>
  <c r="C19" i="8"/>
  <c r="B19" i="8"/>
  <c r="A19" i="8"/>
  <c r="Z18" i="8"/>
  <c r="E18" i="8"/>
  <c r="T18" i="8" s="1" a="1"/>
  <c r="D18" i="8"/>
  <c r="C18" i="8"/>
  <c r="B18" i="8"/>
  <c r="A18" i="8"/>
  <c r="Z17" i="8"/>
  <c r="E17" i="8"/>
  <c r="X17" i="8" s="1" a="1"/>
  <c r="D17" i="8"/>
  <c r="C17" i="8"/>
  <c r="B17" i="8"/>
  <c r="A17" i="8"/>
  <c r="Z16" i="8"/>
  <c r="E16" i="8"/>
  <c r="V16" i="8" s="1" a="1"/>
  <c r="D16" i="8"/>
  <c r="C16" i="8"/>
  <c r="B16" i="8"/>
  <c r="A16" i="8"/>
  <c r="Z15" i="8"/>
  <c r="E15" i="8"/>
  <c r="Y15" i="8" s="1" a="1"/>
  <c r="D15" i="8"/>
  <c r="C15" i="8"/>
  <c r="B15" i="8"/>
  <c r="A15" i="8"/>
  <c r="Z14" i="8"/>
  <c r="E14" i="8"/>
  <c r="X14" i="8" s="1" a="1"/>
  <c r="D14" i="8"/>
  <c r="C14" i="8"/>
  <c r="B14" i="8"/>
  <c r="A14" i="8"/>
  <c r="Z13" i="8"/>
  <c r="E13" i="8"/>
  <c r="T13" i="8" s="1" a="1"/>
  <c r="D13" i="8"/>
  <c r="C13" i="8"/>
  <c r="B13" i="8"/>
  <c r="A13" i="8"/>
  <c r="Z12" i="8"/>
  <c r="E12" i="8"/>
  <c r="W12" i="8" s="1" a="1"/>
  <c r="D12" i="8"/>
  <c r="C12" i="8"/>
  <c r="B12" i="8"/>
  <c r="A12" i="8"/>
  <c r="Z11" i="8"/>
  <c r="E11" i="8"/>
  <c r="D11" i="8"/>
  <c r="C11" i="8"/>
  <c r="B11" i="8"/>
  <c r="A11" i="8"/>
  <c r="Z10" i="8"/>
  <c r="E10" i="8"/>
  <c r="V10" i="8" s="1" a="1"/>
  <c r="D10" i="8"/>
  <c r="C10" i="8"/>
  <c r="B10" i="8"/>
  <c r="A10" i="8"/>
  <c r="Z9" i="8"/>
  <c r="E9" i="8"/>
  <c r="V9" i="8" s="1" a="1"/>
  <c r="D9" i="8"/>
  <c r="C9" i="8"/>
  <c r="B9" i="8"/>
  <c r="A9" i="8"/>
  <c r="Z8" i="8"/>
  <c r="E8" i="8"/>
  <c r="U8" i="8" s="1" a="1"/>
  <c r="D8" i="8"/>
  <c r="C8" i="8"/>
  <c r="B8" i="8"/>
  <c r="A8" i="8"/>
  <c r="Z7" i="8"/>
  <c r="E7" i="8"/>
  <c r="D7" i="8"/>
  <c r="C7" i="8"/>
  <c r="B7" i="8"/>
  <c r="A7" i="8"/>
  <c r="Z6" i="8"/>
  <c r="E6" i="8"/>
  <c r="D6" i="8"/>
  <c r="C6" i="8"/>
  <c r="B6" i="8"/>
  <c r="A6" i="8"/>
  <c r="A5" i="8"/>
  <c r="B5" i="8"/>
  <c r="C5" i="8"/>
  <c r="D5" i="8"/>
  <c r="E5" i="8"/>
  <c r="Z5" i="8"/>
  <c r="Z24" i="7"/>
  <c r="E24" i="7"/>
  <c r="V24" i="7" s="1" a="1"/>
  <c r="D24" i="7"/>
  <c r="C24" i="7"/>
  <c r="B24" i="7"/>
  <c r="A24" i="7"/>
  <c r="Z23" i="7"/>
  <c r="E23" i="7"/>
  <c r="D23" i="7"/>
  <c r="C23" i="7"/>
  <c r="B23" i="7"/>
  <c r="A23" i="7"/>
  <c r="Z22" i="7"/>
  <c r="R22" i="7" a="1"/>
  <c r="E22" i="7"/>
  <c r="W22" i="7" s="1" a="1"/>
  <c r="D22" i="7"/>
  <c r="C22" i="7"/>
  <c r="B22" i="7"/>
  <c r="A22" i="7"/>
  <c r="Z21" i="7"/>
  <c r="E21" i="7"/>
  <c r="T21" i="7" s="1" a="1"/>
  <c r="D21" i="7"/>
  <c r="C21" i="7"/>
  <c r="B21" i="7"/>
  <c r="A21" i="7"/>
  <c r="Z20" i="7"/>
  <c r="E20" i="7"/>
  <c r="X20" i="7" s="1" a="1"/>
  <c r="D20" i="7"/>
  <c r="C20" i="7"/>
  <c r="B20" i="7"/>
  <c r="A20" i="7"/>
  <c r="Z19" i="7"/>
  <c r="E19" i="7"/>
  <c r="D19" i="7"/>
  <c r="C19" i="7"/>
  <c r="B19" i="7"/>
  <c r="A19" i="7"/>
  <c r="Z18" i="7"/>
  <c r="E18" i="7"/>
  <c r="Y18" i="7" s="1" a="1"/>
  <c r="D18" i="7"/>
  <c r="C18" i="7"/>
  <c r="B18" i="7"/>
  <c r="A18" i="7"/>
  <c r="Z17" i="7"/>
  <c r="E17" i="7"/>
  <c r="Y17" i="7" s="1" a="1"/>
  <c r="D17" i="7"/>
  <c r="C17" i="7"/>
  <c r="B17" i="7"/>
  <c r="A17" i="7"/>
  <c r="Z16" i="7"/>
  <c r="E16" i="7"/>
  <c r="Y16" i="7" s="1" a="1"/>
  <c r="D16" i="7"/>
  <c r="C16" i="7"/>
  <c r="B16" i="7"/>
  <c r="A16" i="7"/>
  <c r="Z15" i="7"/>
  <c r="E15" i="7"/>
  <c r="Y15" i="7" s="1" a="1"/>
  <c r="D15" i="7"/>
  <c r="C15" i="7"/>
  <c r="B15" i="7"/>
  <c r="A15" i="7"/>
  <c r="Z14" i="7"/>
  <c r="E14" i="7"/>
  <c r="V14" i="7" s="1" a="1"/>
  <c r="D14" i="7"/>
  <c r="C14" i="7"/>
  <c r="B14" i="7"/>
  <c r="A14" i="7"/>
  <c r="Z13" i="7"/>
  <c r="E13" i="7"/>
  <c r="T13" i="7" s="1" a="1"/>
  <c r="D13" i="7"/>
  <c r="C13" i="7"/>
  <c r="B13" i="7"/>
  <c r="A13" i="7"/>
  <c r="Z12" i="7"/>
  <c r="E12" i="7"/>
  <c r="V12" i="7" s="1" a="1"/>
  <c r="D12" i="7"/>
  <c r="C12" i="7"/>
  <c r="B12" i="7"/>
  <c r="A12" i="7"/>
  <c r="Z11" i="7"/>
  <c r="E11" i="7"/>
  <c r="V11" i="7" s="1" a="1"/>
  <c r="D11" i="7"/>
  <c r="C11" i="7"/>
  <c r="B11" i="7"/>
  <c r="A11" i="7"/>
  <c r="Z10" i="7"/>
  <c r="E10" i="7"/>
  <c r="W10" i="7" s="1" a="1"/>
  <c r="D10" i="7"/>
  <c r="C10" i="7"/>
  <c r="B10" i="7"/>
  <c r="A10" i="7"/>
  <c r="Z9" i="7"/>
  <c r="E9" i="7"/>
  <c r="D9" i="7"/>
  <c r="C9" i="7"/>
  <c r="B9" i="7"/>
  <c r="A9" i="7"/>
  <c r="Z8" i="7"/>
  <c r="E8" i="7"/>
  <c r="X8" i="7" s="1" a="1"/>
  <c r="D8" i="7"/>
  <c r="C8" i="7"/>
  <c r="B8" i="7"/>
  <c r="A8" i="7"/>
  <c r="Z7" i="7"/>
  <c r="E7" i="7"/>
  <c r="D7" i="7"/>
  <c r="C7" i="7"/>
  <c r="B7" i="7"/>
  <c r="A7" i="7"/>
  <c r="Z6" i="7"/>
  <c r="E6" i="7"/>
  <c r="D6" i="7"/>
  <c r="C6" i="7"/>
  <c r="B6" i="7"/>
  <c r="A6" i="7"/>
  <c r="E5" i="7"/>
  <c r="D5" i="7"/>
  <c r="C5" i="7"/>
  <c r="B5" i="7"/>
  <c r="A5" i="7"/>
  <c r="B58" i="5"/>
  <c r="B57" i="5"/>
  <c r="B56" i="5"/>
  <c r="B55" i="5"/>
  <c r="B54" i="5"/>
  <c r="B53" i="5"/>
  <c r="B52" i="5"/>
  <c r="B51" i="5"/>
  <c r="B50" i="5"/>
  <c r="B49" i="5"/>
  <c r="B48" i="5"/>
  <c r="B47" i="5"/>
  <c r="B46" i="5"/>
  <c r="B45" i="5"/>
  <c r="B44" i="5"/>
  <c r="B43" i="5"/>
  <c r="B42" i="5"/>
  <c r="B41" i="5"/>
  <c r="B40" i="5"/>
  <c r="B39" i="5"/>
  <c r="E52" i="4"/>
  <c r="D52" i="4"/>
  <c r="C52" i="4"/>
  <c r="B52" i="4"/>
  <c r="A52" i="4"/>
  <c r="E51" i="4"/>
  <c r="D51" i="4"/>
  <c r="C51" i="4"/>
  <c r="B51" i="4"/>
  <c r="A51" i="4"/>
  <c r="E50" i="4"/>
  <c r="D50" i="4"/>
  <c r="C50" i="4"/>
  <c r="B50" i="4"/>
  <c r="A50" i="4"/>
  <c r="E49" i="4"/>
  <c r="D49" i="4"/>
  <c r="C49" i="4"/>
  <c r="B49" i="4"/>
  <c r="A49" i="4"/>
  <c r="E48" i="4"/>
  <c r="D48" i="4"/>
  <c r="C48" i="4"/>
  <c r="B48" i="4"/>
  <c r="A48" i="4"/>
  <c r="E47" i="4"/>
  <c r="D47" i="4"/>
  <c r="C47" i="4"/>
  <c r="B47" i="4"/>
  <c r="A47" i="4"/>
  <c r="E46" i="4"/>
  <c r="D46" i="4"/>
  <c r="C46" i="4"/>
  <c r="B46" i="4"/>
  <c r="A46" i="4"/>
  <c r="E45" i="4"/>
  <c r="D45" i="4"/>
  <c r="C45" i="4"/>
  <c r="B45" i="4"/>
  <c r="A45" i="4"/>
  <c r="E44" i="4"/>
  <c r="D44" i="4"/>
  <c r="C44" i="4"/>
  <c r="B44" i="4"/>
  <c r="A44" i="4"/>
  <c r="E43" i="4"/>
  <c r="D43" i="4"/>
  <c r="C43" i="4"/>
  <c r="B43" i="4"/>
  <c r="A43" i="4"/>
  <c r="E42" i="4"/>
  <c r="D42" i="4"/>
  <c r="C42" i="4"/>
  <c r="B42" i="4"/>
  <c r="A42" i="4"/>
  <c r="E41" i="4"/>
  <c r="D41" i="4"/>
  <c r="C41" i="4"/>
  <c r="B41" i="4"/>
  <c r="A41" i="4"/>
  <c r="E40" i="4"/>
  <c r="D40" i="4"/>
  <c r="C40" i="4"/>
  <c r="B40" i="4"/>
  <c r="A40" i="4"/>
  <c r="E39" i="4"/>
  <c r="D39" i="4"/>
  <c r="C39" i="4"/>
  <c r="B39" i="4"/>
  <c r="A39" i="4"/>
  <c r="E38" i="4"/>
  <c r="D38" i="4"/>
  <c r="C38" i="4"/>
  <c r="B38" i="4"/>
  <c r="A38" i="4"/>
  <c r="E37" i="4"/>
  <c r="D37" i="4"/>
  <c r="C37" i="4"/>
  <c r="B37" i="4"/>
  <c r="A37" i="4"/>
  <c r="E36" i="4"/>
  <c r="D36" i="4"/>
  <c r="C36" i="4"/>
  <c r="B36" i="4"/>
  <c r="A36" i="4"/>
  <c r="E35" i="4"/>
  <c r="D35" i="4"/>
  <c r="C35" i="4"/>
  <c r="B35" i="4"/>
  <c r="A35" i="4"/>
  <c r="E34" i="4"/>
  <c r="D34" i="4"/>
  <c r="C34" i="4"/>
  <c r="B34" i="4"/>
  <c r="A34" i="4"/>
  <c r="E33" i="4"/>
  <c r="D33" i="4"/>
  <c r="C33" i="4"/>
  <c r="B33" i="4"/>
  <c r="A33" i="4"/>
  <c r="E28" i="4"/>
  <c r="D28" i="4"/>
  <c r="C28" i="4"/>
  <c r="B28" i="4"/>
  <c r="A28" i="4"/>
  <c r="E27" i="4"/>
  <c r="D27" i="4"/>
  <c r="C27" i="4"/>
  <c r="B27" i="4"/>
  <c r="J27" i="4" s="1"/>
  <c r="A27" i="4"/>
  <c r="E26" i="4"/>
  <c r="D26" i="4"/>
  <c r="C26" i="4"/>
  <c r="B26" i="4"/>
  <c r="N26" i="4" s="1"/>
  <c r="A26" i="4"/>
  <c r="E25" i="4"/>
  <c r="D25" i="4"/>
  <c r="C25" i="4"/>
  <c r="B25" i="4"/>
  <c r="I25" i="4" s="1"/>
  <c r="A25" i="4"/>
  <c r="E24" i="4"/>
  <c r="D24" i="4"/>
  <c r="C24" i="4"/>
  <c r="B24" i="4"/>
  <c r="G24" i="4" s="1"/>
  <c r="A24" i="4"/>
  <c r="E23" i="4"/>
  <c r="D23" i="4"/>
  <c r="C23" i="4"/>
  <c r="B23" i="4"/>
  <c r="A23" i="4"/>
  <c r="E22" i="4"/>
  <c r="D22" i="4"/>
  <c r="C22" i="4"/>
  <c r="B22" i="4"/>
  <c r="I22" i="4" s="1"/>
  <c r="A22" i="4"/>
  <c r="E21" i="4"/>
  <c r="D21" i="4"/>
  <c r="C21" i="4"/>
  <c r="B21" i="4"/>
  <c r="H21" i="4" s="1"/>
  <c r="H17" i="7" s="1"/>
  <c r="A21" i="4"/>
  <c r="E20" i="4"/>
  <c r="D20" i="4"/>
  <c r="C20" i="4"/>
  <c r="B20" i="4"/>
  <c r="F20" i="4" s="1"/>
  <c r="A20" i="4"/>
  <c r="E19" i="4"/>
  <c r="D19" i="4"/>
  <c r="C19" i="4"/>
  <c r="B19" i="4"/>
  <c r="I19" i="4" s="1"/>
  <c r="I15" i="7" s="1"/>
  <c r="A19" i="4"/>
  <c r="E18" i="4"/>
  <c r="D18" i="4"/>
  <c r="C18" i="4"/>
  <c r="B18" i="4"/>
  <c r="H18" i="4" s="1"/>
  <c r="A18" i="4"/>
  <c r="E17" i="4"/>
  <c r="D17" i="4"/>
  <c r="C17" i="4"/>
  <c r="B17" i="4"/>
  <c r="O17" i="4" s="1"/>
  <c r="A17" i="4"/>
  <c r="E16" i="4"/>
  <c r="D16" i="4"/>
  <c r="C16" i="4"/>
  <c r="B16" i="4"/>
  <c r="I16" i="4" s="1"/>
  <c r="A16" i="4"/>
  <c r="E15" i="4"/>
  <c r="D15" i="4"/>
  <c r="C15" i="4"/>
  <c r="B15" i="4"/>
  <c r="H15" i="4" s="1"/>
  <c r="A15" i="4"/>
  <c r="E14" i="4"/>
  <c r="D14" i="4"/>
  <c r="C14" i="4"/>
  <c r="B14" i="4"/>
  <c r="F14" i="4" s="1"/>
  <c r="A14" i="4"/>
  <c r="E13" i="4"/>
  <c r="D13" i="4"/>
  <c r="C13" i="4"/>
  <c r="B13" i="4"/>
  <c r="A13" i="4"/>
  <c r="E12" i="4"/>
  <c r="D12" i="4"/>
  <c r="C12" i="4"/>
  <c r="B12" i="4"/>
  <c r="N12" i="4" s="1"/>
  <c r="A12" i="4"/>
  <c r="E11" i="4"/>
  <c r="D11" i="4"/>
  <c r="C11" i="4"/>
  <c r="B11" i="4"/>
  <c r="F11" i="4" s="1"/>
  <c r="A11" i="4"/>
  <c r="E10" i="4"/>
  <c r="D10" i="4"/>
  <c r="C10" i="4"/>
  <c r="B10" i="4"/>
  <c r="A10" i="4"/>
  <c r="E9" i="4"/>
  <c r="D9" i="4"/>
  <c r="C9" i="4"/>
  <c r="B9" i="4"/>
  <c r="M9" i="4" s="1"/>
  <c r="A9" i="4"/>
  <c r="C30" i="10"/>
  <c r="D30" i="10"/>
  <c r="E30" i="10"/>
  <c r="F30" i="10"/>
  <c r="G30" i="10"/>
  <c r="I30" i="10"/>
  <c r="J30" i="10"/>
  <c r="K30" i="10"/>
  <c r="L30" i="10"/>
  <c r="M30" i="10"/>
  <c r="S30" i="10"/>
  <c r="C31" i="10"/>
  <c r="D31" i="10"/>
  <c r="E31" i="10"/>
  <c r="F31" i="10"/>
  <c r="G31" i="10"/>
  <c r="I31" i="10"/>
  <c r="K31" i="10"/>
  <c r="L31" i="10"/>
  <c r="M31" i="10"/>
  <c r="S31" i="10"/>
  <c r="C32" i="10"/>
  <c r="D32" i="10"/>
  <c r="E32" i="10"/>
  <c r="F32" i="10"/>
  <c r="G32" i="10"/>
  <c r="I32" i="10"/>
  <c r="K32" i="10"/>
  <c r="L32" i="10"/>
  <c r="M32" i="10"/>
  <c r="S32" i="10"/>
  <c r="C33" i="10"/>
  <c r="D33" i="10"/>
  <c r="E33" i="10"/>
  <c r="F33" i="10"/>
  <c r="G33" i="10"/>
  <c r="I33" i="10"/>
  <c r="K33" i="10"/>
  <c r="L33" i="10"/>
  <c r="M33" i="10"/>
  <c r="S33" i="10"/>
  <c r="C34" i="10"/>
  <c r="D34" i="10"/>
  <c r="E34" i="10"/>
  <c r="F34" i="10"/>
  <c r="G34" i="10"/>
  <c r="I34" i="10"/>
  <c r="K34" i="10"/>
  <c r="L34" i="10"/>
  <c r="M34" i="10"/>
  <c r="S34" i="10"/>
  <c r="C35" i="10"/>
  <c r="D35" i="10"/>
  <c r="E35" i="10"/>
  <c r="F35" i="10"/>
  <c r="G35" i="10"/>
  <c r="I35" i="10"/>
  <c r="K35" i="10"/>
  <c r="L35" i="10"/>
  <c r="M35" i="10"/>
  <c r="S35" i="10"/>
  <c r="C36" i="10"/>
  <c r="D36" i="10"/>
  <c r="E36" i="10"/>
  <c r="F36" i="10"/>
  <c r="G36" i="10"/>
  <c r="I36" i="10"/>
  <c r="K36" i="10"/>
  <c r="L36" i="10"/>
  <c r="M36" i="10"/>
  <c r="S36" i="10"/>
  <c r="C37" i="10"/>
  <c r="D37" i="10"/>
  <c r="E37" i="10"/>
  <c r="F37" i="10"/>
  <c r="G37" i="10"/>
  <c r="I37" i="10"/>
  <c r="K37" i="10"/>
  <c r="L37" i="10"/>
  <c r="M37" i="10"/>
  <c r="S37" i="10"/>
  <c r="C38" i="10"/>
  <c r="D38" i="10"/>
  <c r="E38" i="10"/>
  <c r="F38" i="10"/>
  <c r="G38" i="10"/>
  <c r="I38" i="10"/>
  <c r="K38" i="10"/>
  <c r="L38" i="10"/>
  <c r="M38" i="10"/>
  <c r="S38" i="10"/>
  <c r="C39" i="10"/>
  <c r="D39" i="10"/>
  <c r="E39" i="10"/>
  <c r="F39" i="10"/>
  <c r="G39" i="10"/>
  <c r="I39" i="10"/>
  <c r="K39" i="10"/>
  <c r="L39" i="10"/>
  <c r="M39" i="10"/>
  <c r="S39" i="10"/>
  <c r="B66" i="9"/>
  <c r="D66" i="9"/>
  <c r="B67" i="9"/>
  <c r="B68" i="9"/>
  <c r="B69" i="9"/>
  <c r="B70" i="9"/>
  <c r="B71" i="9"/>
  <c r="B72" i="9"/>
  <c r="B73" i="9"/>
  <c r="B74" i="9"/>
  <c r="B75" i="9"/>
  <c r="B76" i="9"/>
  <c r="B77" i="9"/>
  <c r="B78" i="9"/>
  <c r="B79" i="9"/>
  <c r="B80" i="9"/>
  <c r="B81" i="9"/>
  <c r="B82" i="9"/>
  <c r="B83" i="9"/>
  <c r="B84" i="9"/>
  <c r="B85" i="9"/>
  <c r="B86" i="9"/>
  <c r="G42" i="9"/>
  <c r="E43" i="9"/>
  <c r="G43" i="9"/>
  <c r="G44" i="9"/>
  <c r="E45" i="9"/>
  <c r="G45" i="9"/>
  <c r="E46" i="9"/>
  <c r="F46" i="9" s="1"/>
  <c r="G46" i="9"/>
  <c r="E47" i="9"/>
  <c r="F47" i="9" s="1"/>
  <c r="G47" i="9"/>
  <c r="E48" i="9"/>
  <c r="F48" i="9" s="1"/>
  <c r="G48" i="9"/>
  <c r="E49" i="9"/>
  <c r="F49" i="9"/>
  <c r="G49" i="9"/>
  <c r="G50" i="9"/>
  <c r="E51" i="9"/>
  <c r="F51" i="9"/>
  <c r="G51" i="9"/>
  <c r="E52" i="9"/>
  <c r="F52" i="9"/>
  <c r="G52" i="9"/>
  <c r="G53" i="9"/>
  <c r="E54" i="9"/>
  <c r="G54" i="9"/>
  <c r="F55" i="9"/>
  <c r="G55" i="9"/>
  <c r="G56" i="9"/>
  <c r="E57" i="9"/>
  <c r="G57" i="9"/>
  <c r="E58" i="9"/>
  <c r="F58" i="9" s="1"/>
  <c r="G58" i="9"/>
  <c r="G59" i="9"/>
  <c r="E60" i="9"/>
  <c r="F60" i="9" s="1"/>
  <c r="G60" i="9"/>
  <c r="E61" i="9"/>
  <c r="G61" i="9"/>
  <c r="C30" i="8"/>
  <c r="D30" i="8"/>
  <c r="E30" i="8"/>
  <c r="F30" i="8"/>
  <c r="G30" i="8"/>
  <c r="I30" i="8"/>
  <c r="J30" i="8"/>
  <c r="K30" i="8"/>
  <c r="L30" i="8"/>
  <c r="M30" i="8"/>
  <c r="S30" i="8"/>
  <c r="C31" i="8"/>
  <c r="D31" i="8"/>
  <c r="E31" i="8"/>
  <c r="F31" i="8"/>
  <c r="G31" i="8"/>
  <c r="I31" i="8"/>
  <c r="H31" i="8" s="1"/>
  <c r="K31" i="8"/>
  <c r="L31" i="8"/>
  <c r="M31" i="8"/>
  <c r="S31" i="8"/>
  <c r="C32" i="8"/>
  <c r="D32" i="8"/>
  <c r="E32" i="8"/>
  <c r="F32" i="8"/>
  <c r="G32" i="8"/>
  <c r="I32" i="8"/>
  <c r="K32" i="8"/>
  <c r="L32" i="8"/>
  <c r="M32" i="8"/>
  <c r="S32" i="8"/>
  <c r="C33" i="8"/>
  <c r="D33" i="8"/>
  <c r="E33" i="8"/>
  <c r="F33" i="8"/>
  <c r="G33" i="8"/>
  <c r="I33" i="8"/>
  <c r="K33" i="8"/>
  <c r="L33" i="8"/>
  <c r="M33" i="8"/>
  <c r="S33" i="8"/>
  <c r="C34" i="8"/>
  <c r="D34" i="8"/>
  <c r="E34" i="8"/>
  <c r="F34" i="8"/>
  <c r="G34" i="8"/>
  <c r="I34" i="8"/>
  <c r="K34" i="8"/>
  <c r="L34" i="8"/>
  <c r="M34" i="8"/>
  <c r="S34" i="8"/>
  <c r="C35" i="8"/>
  <c r="D35" i="8"/>
  <c r="E35" i="8"/>
  <c r="F35" i="8"/>
  <c r="G35" i="8"/>
  <c r="I35" i="8"/>
  <c r="K35" i="8"/>
  <c r="L35" i="8"/>
  <c r="M35" i="8"/>
  <c r="S35" i="8"/>
  <c r="C36" i="8"/>
  <c r="D36" i="8"/>
  <c r="E36" i="8"/>
  <c r="F36" i="8"/>
  <c r="G36" i="8"/>
  <c r="I36" i="8"/>
  <c r="K36" i="8"/>
  <c r="L36" i="8"/>
  <c r="M36" i="8"/>
  <c r="S36" i="8"/>
  <c r="C37" i="8"/>
  <c r="D37" i="8"/>
  <c r="E37" i="8"/>
  <c r="F37" i="8"/>
  <c r="G37" i="8"/>
  <c r="I37" i="8"/>
  <c r="H37" i="8" s="1"/>
  <c r="K37" i="8"/>
  <c r="L37" i="8"/>
  <c r="M37" i="8"/>
  <c r="S37" i="8"/>
  <c r="C38" i="8"/>
  <c r="D38" i="8"/>
  <c r="E38" i="8"/>
  <c r="F38" i="8"/>
  <c r="G38" i="8"/>
  <c r="I38" i="8"/>
  <c r="K38" i="8"/>
  <c r="L38" i="8"/>
  <c r="M38" i="8"/>
  <c r="S38" i="8"/>
  <c r="C39" i="8"/>
  <c r="D39" i="8"/>
  <c r="E39" i="8"/>
  <c r="F39" i="8"/>
  <c r="G39" i="8"/>
  <c r="I39" i="8"/>
  <c r="K39" i="8"/>
  <c r="L39" i="8"/>
  <c r="M39" i="8"/>
  <c r="S39" i="8"/>
  <c r="B64" i="6"/>
  <c r="D64" i="6"/>
  <c r="B65" i="6"/>
  <c r="B66" i="6"/>
  <c r="B67" i="6"/>
  <c r="B68" i="6"/>
  <c r="B69" i="6"/>
  <c r="B70" i="6"/>
  <c r="B71" i="6"/>
  <c r="B72" i="6"/>
  <c r="B73" i="6"/>
  <c r="B74" i="6"/>
  <c r="B75" i="6"/>
  <c r="B76" i="6"/>
  <c r="B77" i="6"/>
  <c r="B78" i="6"/>
  <c r="B79" i="6"/>
  <c r="B80" i="6"/>
  <c r="B81" i="6"/>
  <c r="B82" i="6"/>
  <c r="B83" i="6"/>
  <c r="B84" i="6"/>
  <c r="E40" i="6"/>
  <c r="G40" i="6"/>
  <c r="G41" i="6"/>
  <c r="E42" i="6"/>
  <c r="F42" i="6" s="1"/>
  <c r="G42" i="6"/>
  <c r="E43" i="6"/>
  <c r="G43" i="6"/>
  <c r="G44" i="6"/>
  <c r="E45" i="6"/>
  <c r="G45" i="6"/>
  <c r="E46" i="6"/>
  <c r="F46" i="6" s="1"/>
  <c r="G46" i="6"/>
  <c r="G47" i="6"/>
  <c r="E48" i="6"/>
  <c r="G48" i="6"/>
  <c r="E49" i="6"/>
  <c r="F49" i="6" s="1"/>
  <c r="G49" i="6"/>
  <c r="G50" i="6"/>
  <c r="F51" i="6"/>
  <c r="E51" i="6"/>
  <c r="G51" i="6"/>
  <c r="E52" i="6"/>
  <c r="F52" i="6"/>
  <c r="G52" i="6"/>
  <c r="F53" i="6"/>
  <c r="G53" i="6"/>
  <c r="G54" i="6"/>
  <c r="E55" i="6"/>
  <c r="G55" i="6"/>
  <c r="G56" i="6"/>
  <c r="E57" i="6"/>
  <c r="F57" i="6" s="1"/>
  <c r="G57" i="6"/>
  <c r="E58" i="6"/>
  <c r="G58" i="6"/>
  <c r="G59" i="6"/>
  <c r="C30" i="7"/>
  <c r="D30" i="7"/>
  <c r="E30" i="7"/>
  <c r="F30" i="7"/>
  <c r="G30" i="7"/>
  <c r="H30" i="7"/>
  <c r="I30" i="7"/>
  <c r="J30" i="7"/>
  <c r="K30" i="7"/>
  <c r="L30" i="7"/>
  <c r="C31" i="7"/>
  <c r="D31" i="7"/>
  <c r="E31" i="7"/>
  <c r="F31" i="7"/>
  <c r="G31" i="7"/>
  <c r="H31" i="7"/>
  <c r="I31" i="7"/>
  <c r="J31" i="7"/>
  <c r="K31" i="7"/>
  <c r="L31" i="7"/>
  <c r="C32" i="7"/>
  <c r="D32" i="7"/>
  <c r="E32" i="7"/>
  <c r="F32" i="7"/>
  <c r="G32" i="7"/>
  <c r="H32" i="7"/>
  <c r="I32" i="7"/>
  <c r="J32" i="7"/>
  <c r="K32" i="7"/>
  <c r="L32" i="7"/>
  <c r="C33" i="7"/>
  <c r="D33" i="7"/>
  <c r="E33" i="7"/>
  <c r="F33" i="7"/>
  <c r="G33" i="7"/>
  <c r="H33" i="7"/>
  <c r="I33" i="7"/>
  <c r="J33" i="7"/>
  <c r="K33" i="7"/>
  <c r="L33" i="7"/>
  <c r="C34" i="7"/>
  <c r="D34" i="7"/>
  <c r="E34" i="7"/>
  <c r="F34" i="7"/>
  <c r="G34" i="7"/>
  <c r="H34" i="7"/>
  <c r="I34" i="7"/>
  <c r="J34" i="7"/>
  <c r="K34" i="7"/>
  <c r="L34" i="7"/>
  <c r="Z5" i="7"/>
  <c r="M12" i="4"/>
  <c r="F15" i="4"/>
  <c r="G15" i="4"/>
  <c r="F17" i="4"/>
  <c r="F23" i="4"/>
  <c r="F26" i="4"/>
  <c r="B36" i="9"/>
  <c r="C7" i="9"/>
  <c r="C9" i="9"/>
  <c r="D9" i="9"/>
  <c r="E9" i="9"/>
  <c r="E13" i="9" s="1"/>
  <c r="F9" i="9"/>
  <c r="F13" i="9" s="1"/>
  <c r="G9" i="9"/>
  <c r="G13" i="9" s="1"/>
  <c r="H9" i="9"/>
  <c r="H13" i="9" s="1"/>
  <c r="I9" i="9"/>
  <c r="I13" i="9" s="1"/>
  <c r="J9" i="9"/>
  <c r="J13" i="9" s="1"/>
  <c r="K9" i="9"/>
  <c r="K13" i="9" s="1"/>
  <c r="L9" i="9"/>
  <c r="L13" i="9" s="1"/>
  <c r="J65" i="9"/>
  <c r="K65" i="9"/>
  <c r="L65" i="9"/>
  <c r="M65" i="9"/>
  <c r="N65" i="9"/>
  <c r="O65" i="9"/>
  <c r="P65" i="9"/>
  <c r="Q65" i="9"/>
  <c r="R65" i="9"/>
  <c r="S65" i="9"/>
  <c r="C31" i="3"/>
  <c r="O30" i="8" s="1"/>
  <c r="C28" i="3"/>
  <c r="D6" i="3"/>
  <c r="F10" i="10" l="1"/>
  <c r="C8" i="6"/>
  <c r="F40" i="6"/>
  <c r="F43" i="9"/>
  <c r="C66" i="9"/>
  <c r="A2" i="9"/>
  <c r="E53" i="9"/>
  <c r="E44" i="9"/>
  <c r="F44" i="9" s="1"/>
  <c r="F11" i="10"/>
  <c r="N24" i="4"/>
  <c r="F19" i="7"/>
  <c r="G21" i="4"/>
  <c r="J18" i="4"/>
  <c r="H31" i="10"/>
  <c r="N19" i="4"/>
  <c r="N15" i="10" s="1"/>
  <c r="I18" i="4"/>
  <c r="N15" i="4"/>
  <c r="N11" i="7" s="1"/>
  <c r="X10" i="7" a="1"/>
  <c r="Y13" i="10" a="1"/>
  <c r="I12" i="4"/>
  <c r="G25" i="4"/>
  <c r="N14" i="4"/>
  <c r="N10" i="7" s="1"/>
  <c r="I18" i="7"/>
  <c r="C37" i="7"/>
  <c r="H11" i="7"/>
  <c r="J23" i="7"/>
  <c r="S11" i="7" a="1"/>
  <c r="I14" i="10"/>
  <c r="W17" i="7" a="1"/>
  <c r="S24" i="8" a="1"/>
  <c r="G11" i="7"/>
  <c r="T24" i="8" a="1"/>
  <c r="J15" i="4"/>
  <c r="H16" i="4"/>
  <c r="H12" i="10" s="1"/>
  <c r="L15" i="4"/>
  <c r="L11" i="10" s="1"/>
  <c r="L24" i="4"/>
  <c r="L20" i="8" s="1"/>
  <c r="I21" i="8"/>
  <c r="V21" i="7" a="1"/>
  <c r="T12" i="8" a="1"/>
  <c r="I24" i="4"/>
  <c r="I20" i="7" s="1"/>
  <c r="I15" i="4"/>
  <c r="H14" i="8"/>
  <c r="U12" i="8" a="1"/>
  <c r="X12" i="8" a="1"/>
  <c r="R18" i="7" a="1"/>
  <c r="P17" i="7" a="1"/>
  <c r="Q20" i="8" a="1"/>
  <c r="N10" i="10"/>
  <c r="Q17" i="7" a="1"/>
  <c r="W22" i="10" a="1"/>
  <c r="M15" i="4"/>
  <c r="M11" i="8" s="1"/>
  <c r="K27" i="4"/>
  <c r="K23" i="7" s="1"/>
  <c r="G27" i="4"/>
  <c r="G23" i="7" s="1"/>
  <c r="Y8" i="7" a="1"/>
  <c r="T17" i="7" a="1"/>
  <c r="V20" i="8" a="1"/>
  <c r="S13" i="10" a="1"/>
  <c r="X18" i="8" a="1"/>
  <c r="S14" i="10" a="1"/>
  <c r="V8" i="7" a="1"/>
  <c r="T20" i="8" a="1"/>
  <c r="M27" i="4"/>
  <c r="I8" i="7"/>
  <c r="V17" i="7" a="1"/>
  <c r="W20" i="8" a="1"/>
  <c r="U13" i="10" a="1"/>
  <c r="W12" i="7" a="1"/>
  <c r="G21" i="10"/>
  <c r="P21" i="7" a="1"/>
  <c r="R12" i="8" a="1"/>
  <c r="P12" i="8" a="1"/>
  <c r="R15" i="10" a="1"/>
  <c r="R21" i="7" a="1"/>
  <c r="S12" i="8" a="1"/>
  <c r="F25" i="4"/>
  <c r="M21" i="4"/>
  <c r="O16" i="4"/>
  <c r="O12" i="7" s="1"/>
  <c r="H33" i="8"/>
  <c r="X11" i="7" a="1"/>
  <c r="Q24" i="7" a="1"/>
  <c r="V12" i="8" a="1"/>
  <c r="P17" i="8" a="1"/>
  <c r="P8" i="10" a="1"/>
  <c r="Q11" i="10" a="1"/>
  <c r="W14" i="10" a="1"/>
  <c r="R8" i="10" a="1"/>
  <c r="W8" i="10" a="1"/>
  <c r="W24" i="7" a="1"/>
  <c r="T17" i="8" a="1"/>
  <c r="G19" i="4"/>
  <c r="G15" i="10" s="1"/>
  <c r="S13" i="7" a="1"/>
  <c r="J24" i="4"/>
  <c r="J20" i="7" s="1"/>
  <c r="O19" i="4"/>
  <c r="O15" i="8" s="1"/>
  <c r="K15" i="4"/>
  <c r="K11" i="7" s="1"/>
  <c r="C8" i="5"/>
  <c r="H30" i="8"/>
  <c r="H36" i="10"/>
  <c r="U10" i="7" a="1"/>
  <c r="Q18" i="7" a="1"/>
  <c r="Y17" i="8" a="1"/>
  <c r="U20" i="8" a="1"/>
  <c r="V13" i="10" a="1"/>
  <c r="Q22" i="10" a="1"/>
  <c r="F24" i="4"/>
  <c r="F20" i="7" s="1"/>
  <c r="L18" i="4"/>
  <c r="X18" i="7" a="1"/>
  <c r="Q14" i="8" a="1"/>
  <c r="T10" i="10" a="1"/>
  <c r="I11" i="7"/>
  <c r="R24" i="10" a="1"/>
  <c r="M24" i="4"/>
  <c r="K18" i="4"/>
  <c r="P19" i="8" a="1"/>
  <c r="U22" i="8" a="1"/>
  <c r="S24" i="10" a="1"/>
  <c r="R13" i="8" a="1"/>
  <c r="I21" i="4"/>
  <c r="I17" i="10" s="1"/>
  <c r="F7" i="7"/>
  <c r="U16" i="7" a="1"/>
  <c r="U13" i="8" a="1"/>
  <c r="H22" i="4"/>
  <c r="M18" i="4"/>
  <c r="H39" i="10"/>
  <c r="F13" i="7"/>
  <c r="I12" i="10"/>
  <c r="X13" i="8" a="1"/>
  <c r="V18" i="8" a="1"/>
  <c r="Q9" i="10" a="1"/>
  <c r="H24" i="4"/>
  <c r="H20" i="10" s="1"/>
  <c r="Q30" i="10"/>
  <c r="R30" i="10" s="1"/>
  <c r="J31" i="10" s="1"/>
  <c r="Q31" i="10" s="1"/>
  <c r="N22" i="10"/>
  <c r="H19" i="4"/>
  <c r="G18" i="4"/>
  <c r="J11" i="7"/>
  <c r="K9" i="4"/>
  <c r="H36" i="8"/>
  <c r="H34" i="8"/>
  <c r="W15" i="7" a="1"/>
  <c r="T15" i="8" a="1"/>
  <c r="R18" i="8" a="1"/>
  <c r="Y19" i="8" a="1"/>
  <c r="P13" i="10" a="1"/>
  <c r="Q14" i="10" a="1"/>
  <c r="X21" i="10" a="1"/>
  <c r="F22" i="10"/>
  <c r="H25" i="4"/>
  <c r="H21" i="10" s="1"/>
  <c r="M20" i="8"/>
  <c r="F19" i="4"/>
  <c r="F15" i="8" s="1"/>
  <c r="H35" i="8"/>
  <c r="H34" i="10"/>
  <c r="P8" i="7" a="1"/>
  <c r="Q11" i="7" a="1"/>
  <c r="W18" i="8" a="1"/>
  <c r="R24" i="8" a="1"/>
  <c r="R14" i="10" a="1"/>
  <c r="N25" i="4"/>
  <c r="N21" i="8" s="1"/>
  <c r="F22" i="4"/>
  <c r="F18" i="7" s="1"/>
  <c r="G16" i="4"/>
  <c r="U11" i="7" a="1"/>
  <c r="X22" i="7" a="1"/>
  <c r="V14" i="8" a="1"/>
  <c r="X24" i="8" a="1"/>
  <c r="R9" i="10" a="1"/>
  <c r="T14" i="10" a="1"/>
  <c r="U15" i="10" a="1"/>
  <c r="N18" i="4"/>
  <c r="N14" i="10" s="1"/>
  <c r="F16" i="4"/>
  <c r="F12" i="10" s="1"/>
  <c r="W11" i="7" a="1"/>
  <c r="R17" i="7" a="1"/>
  <c r="Y24" i="8" a="1"/>
  <c r="W9" i="10" a="1"/>
  <c r="V14" i="10" a="1"/>
  <c r="X9" i="10" a="1"/>
  <c r="N8" i="8"/>
  <c r="H38" i="8"/>
  <c r="H32" i="8"/>
  <c r="Y11" i="7" a="1"/>
  <c r="X14" i="10" a="1"/>
  <c r="R19" i="10" a="1"/>
  <c r="G17" i="10"/>
  <c r="J14" i="8"/>
  <c r="Y14" i="10" a="1"/>
  <c r="X19" i="10" a="1"/>
  <c r="N20" i="8"/>
  <c r="M8" i="8"/>
  <c r="Y20" i="7" a="1"/>
  <c r="P18" i="8" a="1"/>
  <c r="V19" i="8" a="1"/>
  <c r="P14" i="10" a="1"/>
  <c r="J40" i="7"/>
  <c r="C47" i="10"/>
  <c r="D47" i="10" a="1"/>
  <c r="E47" i="10" a="1"/>
  <c r="C47" i="8"/>
  <c r="D47" i="8" a="1"/>
  <c r="E47" i="8" a="1"/>
  <c r="V19" i="7" a="1"/>
  <c r="W19" i="7" a="1"/>
  <c r="X23" i="7" a="1"/>
  <c r="Y23" i="7" a="1"/>
  <c r="M5" i="8"/>
  <c r="U11" i="8" a="1"/>
  <c r="V11" i="8" a="1"/>
  <c r="F7" i="10"/>
  <c r="S20" i="10" a="1"/>
  <c r="V20" i="10" a="1"/>
  <c r="T20" i="10" a="1"/>
  <c r="P20" i="10" a="1"/>
  <c r="Y20" i="10" a="1"/>
  <c r="W20" i="10" a="1"/>
  <c r="C36" i="7"/>
  <c r="H39" i="8"/>
  <c r="H33" i="10"/>
  <c r="S15" i="7" a="1"/>
  <c r="G17" i="7"/>
  <c r="Y8" i="8" a="1"/>
  <c r="V8" i="8" a="1"/>
  <c r="Q8" i="8" a="1"/>
  <c r="X10" i="8" a="1"/>
  <c r="P10" i="8" a="1"/>
  <c r="Y10" i="8" a="1"/>
  <c r="T10" i="8" a="1"/>
  <c r="P11" i="8" a="1"/>
  <c r="T8" i="10" a="1"/>
  <c r="Q8" i="10" a="1"/>
  <c r="X8" i="10" a="1"/>
  <c r="V8" i="10" a="1"/>
  <c r="U8" i="10" a="1"/>
  <c r="Y10" i="10" a="1"/>
  <c r="X10" i="10" a="1"/>
  <c r="U10" i="10" a="1"/>
  <c r="R10" i="10" a="1"/>
  <c r="P10" i="10" a="1"/>
  <c r="AJ10" i="10" s="1"/>
  <c r="AA10" i="10" s="1"/>
  <c r="Q20" i="10" a="1"/>
  <c r="S22" i="10" a="1"/>
  <c r="C85" i="7"/>
  <c r="C89" i="7" s="1"/>
  <c r="C55" i="7"/>
  <c r="C59" i="7" s="1"/>
  <c r="C95" i="7"/>
  <c r="C99" i="7" s="1"/>
  <c r="C135" i="7"/>
  <c r="T40" i="10"/>
  <c r="T90" i="10"/>
  <c r="C15" i="9"/>
  <c r="O30" i="10"/>
  <c r="F10" i="7"/>
  <c r="R20" i="10" a="1"/>
  <c r="K12" i="9" a="1"/>
  <c r="L12" i="9" a="1"/>
  <c r="C11" i="9" a="1"/>
  <c r="D11" i="9" a="1"/>
  <c r="C12" i="9" a="1"/>
  <c r="E11" i="9" a="1"/>
  <c r="D12" i="9" a="1"/>
  <c r="F11" i="9" a="1"/>
  <c r="E12" i="9" a="1"/>
  <c r="G11" i="9" a="1"/>
  <c r="F12" i="9" a="1"/>
  <c r="H11" i="9" a="1"/>
  <c r="G12" i="9" a="1"/>
  <c r="I11" i="9" a="1"/>
  <c r="I12" i="9" a="1"/>
  <c r="K11" i="9" a="1"/>
  <c r="J12" i="9" a="1"/>
  <c r="L11" i="9" a="1"/>
  <c r="H12" i="9" a="1"/>
  <c r="J11" i="9" a="1"/>
  <c r="N30" i="10"/>
  <c r="W9" i="7" a="1"/>
  <c r="V9" i="7" a="1"/>
  <c r="T9" i="7" a="1"/>
  <c r="R9" i="7" a="1"/>
  <c r="P220" i="10"/>
  <c r="P230" i="10"/>
  <c r="P110" i="10"/>
  <c r="P160" i="10"/>
  <c r="P170" i="10"/>
  <c r="P180" i="10"/>
  <c r="P120" i="10"/>
  <c r="P210" i="10"/>
  <c r="P100" i="10"/>
  <c r="P140" i="10"/>
  <c r="P130" i="10"/>
  <c r="P190" i="10"/>
  <c r="P200" i="10"/>
  <c r="P150" i="10"/>
  <c r="P60" i="10"/>
  <c r="P70" i="10"/>
  <c r="P40" i="10"/>
  <c r="P50" i="10"/>
  <c r="P80" i="10"/>
  <c r="P220" i="8"/>
  <c r="P170" i="8"/>
  <c r="P180" i="8"/>
  <c r="P230" i="8"/>
  <c r="P190" i="8"/>
  <c r="P160" i="8"/>
  <c r="P90" i="10"/>
  <c r="P100" i="8"/>
  <c r="P140" i="8"/>
  <c r="P120" i="8"/>
  <c r="P200" i="8"/>
  <c r="P80" i="8"/>
  <c r="P210" i="8"/>
  <c r="P110" i="8"/>
  <c r="P130" i="8"/>
  <c r="P40" i="8"/>
  <c r="P70" i="8"/>
  <c r="P90" i="8"/>
  <c r="P60" i="8"/>
  <c r="P150" i="8"/>
  <c r="P50" i="8"/>
  <c r="C21" i="9"/>
  <c r="H32" i="10"/>
  <c r="P9" i="7" a="1"/>
  <c r="P8" i="8" a="1"/>
  <c r="N10" i="8"/>
  <c r="R14" i="8" a="1"/>
  <c r="X22" i="8" a="1"/>
  <c r="V22" i="8" a="1"/>
  <c r="T22" i="8" a="1"/>
  <c r="P22" i="8" a="1"/>
  <c r="U23" i="8" a="1"/>
  <c r="P23" i="8" a="1"/>
  <c r="S8" i="10" a="1"/>
  <c r="U20" i="10" a="1"/>
  <c r="H35" i="10"/>
  <c r="F11" i="7"/>
  <c r="Q19" i="7" a="1"/>
  <c r="F7" i="8"/>
  <c r="T8" i="8" a="1"/>
  <c r="S10" i="8" a="1"/>
  <c r="T14" i="8" a="1"/>
  <c r="V23" i="8" a="1"/>
  <c r="U11" i="10" a="1"/>
  <c r="V11" i="10" a="1"/>
  <c r="P11" i="10" a="1"/>
  <c r="AJ11" i="10" s="1"/>
  <c r="AA11" i="10" s="1"/>
  <c r="H14" i="10"/>
  <c r="X20" i="10" a="1"/>
  <c r="T30" i="8"/>
  <c r="C22" i="9"/>
  <c r="S9" i="7" a="1"/>
  <c r="G21" i="8"/>
  <c r="G11" i="10"/>
  <c r="P12" i="10" a="1"/>
  <c r="AJ12" i="10" s="1"/>
  <c r="AA12" i="10" s="1"/>
  <c r="C18" i="5"/>
  <c r="C13" i="6"/>
  <c r="Q30" i="8"/>
  <c r="R30" i="8" s="1"/>
  <c r="J31" i="8" s="1"/>
  <c r="Q31" i="8" s="1"/>
  <c r="U9" i="7" a="1"/>
  <c r="U15" i="7" a="1"/>
  <c r="V15" i="7" a="1"/>
  <c r="R15" i="7" a="1"/>
  <c r="X15" i="7" a="1"/>
  <c r="R23" i="7" a="1"/>
  <c r="W8" i="8" a="1"/>
  <c r="N22" i="8"/>
  <c r="S10" i="10" a="1"/>
  <c r="S12" i="10" a="1"/>
  <c r="P30" i="8"/>
  <c r="C10" i="9"/>
  <c r="H38" i="10"/>
  <c r="H30" i="10"/>
  <c r="S23" i="7" a="1"/>
  <c r="H12" i="8"/>
  <c r="V12" i="10" a="1"/>
  <c r="H17" i="10"/>
  <c r="P22" i="10" a="1"/>
  <c r="U22" i="10" a="1"/>
  <c r="T22" i="10" a="1"/>
  <c r="R22" i="10" a="1"/>
  <c r="X22" i="10" a="1"/>
  <c r="V22" i="10" a="1"/>
  <c r="X9" i="7" a="1"/>
  <c r="L11" i="7"/>
  <c r="O13" i="7"/>
  <c r="T23" i="7" a="1"/>
  <c r="K70" i="8"/>
  <c r="K50" i="8"/>
  <c r="K170" i="8"/>
  <c r="K40" i="8"/>
  <c r="K190" i="8"/>
  <c r="K120" i="8"/>
  <c r="K60" i="8"/>
  <c r="K110" i="8"/>
  <c r="K140" i="8"/>
  <c r="K150" i="8"/>
  <c r="K180" i="8"/>
  <c r="K210" i="8"/>
  <c r="K230" i="8"/>
  <c r="K80" i="8"/>
  <c r="K90" i="8"/>
  <c r="K100" i="8"/>
  <c r="K130" i="8"/>
  <c r="K160" i="8"/>
  <c r="K200" i="8"/>
  <c r="K220" i="8"/>
  <c r="I12" i="8"/>
  <c r="S14" i="8" a="1"/>
  <c r="P14" i="8" a="1"/>
  <c r="Y14" i="8" a="1"/>
  <c r="W14" i="8" a="1"/>
  <c r="U14" i="8" a="1"/>
  <c r="K230" i="10"/>
  <c r="K160" i="10"/>
  <c r="K220" i="10"/>
  <c r="K170" i="10"/>
  <c r="K180" i="10"/>
  <c r="K100" i="10"/>
  <c r="K200" i="10"/>
  <c r="K190" i="10"/>
  <c r="K130" i="10"/>
  <c r="K110" i="10"/>
  <c r="K150" i="10"/>
  <c r="K120" i="10"/>
  <c r="K140" i="10"/>
  <c r="K210" i="10"/>
  <c r="K40" i="10"/>
  <c r="K50" i="10"/>
  <c r="K60" i="10"/>
  <c r="K70" i="10"/>
  <c r="K80" i="10"/>
  <c r="K90" i="10"/>
  <c r="Y12" i="10" a="1"/>
  <c r="O220" i="10"/>
  <c r="O190" i="10"/>
  <c r="O210" i="10"/>
  <c r="O230" i="10"/>
  <c r="O160" i="10"/>
  <c r="O170" i="10"/>
  <c r="O180" i="10"/>
  <c r="O100" i="10"/>
  <c r="O140" i="10"/>
  <c r="O130" i="10"/>
  <c r="O110" i="10"/>
  <c r="O200" i="10"/>
  <c r="O150" i="10"/>
  <c r="O120" i="10"/>
  <c r="O70" i="10"/>
  <c r="O40" i="10"/>
  <c r="O50" i="10"/>
  <c r="O60" i="10"/>
  <c r="O80" i="10"/>
  <c r="O220" i="8"/>
  <c r="O170" i="8"/>
  <c r="O180" i="8"/>
  <c r="O230" i="8"/>
  <c r="O160" i="8"/>
  <c r="O90" i="10"/>
  <c r="O140" i="8"/>
  <c r="O150" i="8"/>
  <c r="O120" i="8"/>
  <c r="O200" i="8"/>
  <c r="O210" i="8"/>
  <c r="O110" i="8"/>
  <c r="O130" i="8"/>
  <c r="O50" i="8"/>
  <c r="O60" i="8"/>
  <c r="O190" i="8"/>
  <c r="O100" i="8"/>
  <c r="O90" i="8"/>
  <c r="O70" i="8"/>
  <c r="O80" i="8"/>
  <c r="O40" i="8"/>
  <c r="G20" i="8"/>
  <c r="G20" i="7"/>
  <c r="C19" i="5"/>
  <c r="C19" i="6"/>
  <c r="J9" i="4"/>
  <c r="J5" i="7" s="1"/>
  <c r="C222" i="7"/>
  <c r="C82" i="7"/>
  <c r="C42" i="7"/>
  <c r="C72" i="7"/>
  <c r="C92" i="7"/>
  <c r="C142" i="7"/>
  <c r="C192" i="7"/>
  <c r="C202" i="7"/>
  <c r="C212" i="7"/>
  <c r="C132" i="7"/>
  <c r="C232" i="7"/>
  <c r="C62" i="7"/>
  <c r="C112" i="7"/>
  <c r="C172" i="7"/>
  <c r="C182" i="7"/>
  <c r="C152" i="7"/>
  <c r="C162" i="7"/>
  <c r="C52" i="7"/>
  <c r="C102" i="7"/>
  <c r="C122" i="7"/>
  <c r="N30" i="8"/>
  <c r="Y9" i="7" a="1"/>
  <c r="P15" i="7" a="1"/>
  <c r="W16" i="7" a="1"/>
  <c r="S16" i="7" a="1"/>
  <c r="X16" i="7" a="1"/>
  <c r="T16" i="7" a="1"/>
  <c r="U23" i="7" a="1"/>
  <c r="U16" i="8" a="1"/>
  <c r="P16" i="8" a="1"/>
  <c r="Y22" i="8" a="1"/>
  <c r="V10" i="10" a="1"/>
  <c r="X17" i="10" a="1"/>
  <c r="Y17" i="10" a="1"/>
  <c r="S17" i="10" a="1"/>
  <c r="F16" i="8"/>
  <c r="F16" i="10"/>
  <c r="C35" i="7"/>
  <c r="C20" i="6"/>
  <c r="X13" i="7" a="1"/>
  <c r="Y13" i="7" a="1"/>
  <c r="Q15" i="7" a="1"/>
  <c r="R16" i="7" a="1"/>
  <c r="W21" i="7" a="1"/>
  <c r="X21" i="7" a="1"/>
  <c r="U21" i="7" a="1"/>
  <c r="S21" i="7" a="1"/>
  <c r="Y21" i="7" a="1"/>
  <c r="F22" i="7"/>
  <c r="I14" i="8"/>
  <c r="W19" i="8" a="1"/>
  <c r="T19" i="8" a="1"/>
  <c r="R19" i="8" a="1"/>
  <c r="X19" i="8" a="1"/>
  <c r="U19" i="8" a="1"/>
  <c r="W10" i="10" a="1"/>
  <c r="V21" i="10" a="1"/>
  <c r="R21" i="10" a="1"/>
  <c r="R10" i="7" a="1"/>
  <c r="T11" i="7" a="1"/>
  <c r="U17" i="7" a="1"/>
  <c r="W18" i="7" a="1"/>
  <c r="H17" i="8"/>
  <c r="V17" i="8" a="1"/>
  <c r="U18" i="8" a="1"/>
  <c r="M5" i="10"/>
  <c r="F19" i="10"/>
  <c r="S8" i="7" a="1"/>
  <c r="Q12" i="7" a="1"/>
  <c r="X17" i="7" a="1"/>
  <c r="S20" i="7" a="1"/>
  <c r="Y12" i="8" a="1"/>
  <c r="P20" i="8" a="1"/>
  <c r="U24" i="8" a="1"/>
  <c r="Y15" i="10" a="1"/>
  <c r="T15" i="10" a="1"/>
  <c r="W19" i="10" a="1"/>
  <c r="S19" i="10" a="1"/>
  <c r="W24" i="10" a="1"/>
  <c r="Y24" i="10" a="1"/>
  <c r="S17" i="8" a="1"/>
  <c r="F19" i="8"/>
  <c r="U9" i="10" a="1"/>
  <c r="R11" i="7" a="1"/>
  <c r="T18" i="7" a="1"/>
  <c r="U17" i="8" a="1"/>
  <c r="Q18" i="8" a="1"/>
  <c r="T50" i="8"/>
  <c r="T80" i="10"/>
  <c r="T150" i="10"/>
  <c r="W150" i="10" s="1"/>
  <c r="T140" i="10"/>
  <c r="T70" i="10"/>
  <c r="C165" i="7"/>
  <c r="C169" i="7" s="1"/>
  <c r="C155" i="7"/>
  <c r="C159" i="7" s="1"/>
  <c r="C75" i="7"/>
  <c r="C79" i="7" s="1"/>
  <c r="C115" i="7"/>
  <c r="C119" i="7" s="1"/>
  <c r="C64" i="6"/>
  <c r="C225" i="7"/>
  <c r="C235" i="7"/>
  <c r="C205" i="7"/>
  <c r="C195" i="7"/>
  <c r="C215" i="7"/>
  <c r="C175" i="7"/>
  <c r="C65" i="7"/>
  <c r="C145" i="7"/>
  <c r="C185" i="7"/>
  <c r="C45" i="7"/>
  <c r="C125" i="7"/>
  <c r="C105" i="7"/>
  <c r="T230" i="10"/>
  <c r="T220" i="10"/>
  <c r="T210" i="10"/>
  <c r="T190" i="10"/>
  <c r="T200" i="10"/>
  <c r="T160" i="10"/>
  <c r="T180" i="10"/>
  <c r="T170" i="10"/>
  <c r="T110" i="10"/>
  <c r="T120" i="10"/>
  <c r="T130" i="10"/>
  <c r="T100" i="10"/>
  <c r="T60" i="10"/>
  <c r="T50" i="10"/>
  <c r="T230" i="8"/>
  <c r="T220" i="8"/>
  <c r="T190" i="8"/>
  <c r="T210" i="8"/>
  <c r="T200" i="8"/>
  <c r="T180" i="8"/>
  <c r="T170" i="8"/>
  <c r="T160" i="8"/>
  <c r="T150" i="8"/>
  <c r="T140" i="8"/>
  <c r="T130" i="8"/>
  <c r="T110" i="8"/>
  <c r="T120" i="8"/>
  <c r="T100" i="8"/>
  <c r="T90" i="8"/>
  <c r="T80" i="8"/>
  <c r="T60" i="8"/>
  <c r="T40" i="8"/>
  <c r="T70" i="8"/>
  <c r="R12" i="10" a="1"/>
  <c r="X12" i="10" a="1"/>
  <c r="P16" i="10" a="1"/>
  <c r="V16" i="10" a="1"/>
  <c r="U18" i="10" a="1"/>
  <c r="L20" i="10"/>
  <c r="M8" i="10"/>
  <c r="M20" i="10"/>
  <c r="W21" i="10" a="1"/>
  <c r="P23" i="10" a="1"/>
  <c r="V23" i="10" a="1"/>
  <c r="N8" i="10"/>
  <c r="O13" i="10"/>
  <c r="Q16" i="10" a="1"/>
  <c r="W16" i="10" a="1"/>
  <c r="P18" i="10" a="1"/>
  <c r="V18" i="10" a="1"/>
  <c r="N20" i="10"/>
  <c r="Q23" i="10" a="1"/>
  <c r="W23" i="10" a="1"/>
  <c r="T12" i="10" a="1"/>
  <c r="J14" i="10"/>
  <c r="O15" i="10"/>
  <c r="R16" i="10" a="1"/>
  <c r="X16" i="10" a="1"/>
  <c r="M17" i="10"/>
  <c r="F18" i="10"/>
  <c r="Q18" i="10" a="1"/>
  <c r="W18" i="10" a="1"/>
  <c r="I21" i="10"/>
  <c r="G23" i="10"/>
  <c r="T24" i="10" a="1"/>
  <c r="S9" i="10" a="1"/>
  <c r="Y9" i="10" a="1"/>
  <c r="H11" i="10"/>
  <c r="R11" i="10" a="1"/>
  <c r="X11" i="10" a="1"/>
  <c r="F13" i="10"/>
  <c r="Q13" i="10" a="1"/>
  <c r="W13" i="10" a="1"/>
  <c r="K14" i="10"/>
  <c r="P15" i="10" a="1"/>
  <c r="V15" i="10" a="1"/>
  <c r="U17" i="10" a="1"/>
  <c r="T19" i="10" a="1"/>
  <c r="S21" i="10" a="1"/>
  <c r="Y21" i="10" a="1"/>
  <c r="R23" i="10" a="1"/>
  <c r="X23" i="10" a="1"/>
  <c r="I11" i="10"/>
  <c r="U12" i="10" a="1"/>
  <c r="L14" i="10"/>
  <c r="S16" i="10" a="1"/>
  <c r="Y16" i="10" a="1"/>
  <c r="H18" i="10"/>
  <c r="R18" i="10" a="1"/>
  <c r="X18" i="10" a="1"/>
  <c r="U24" i="10" a="1"/>
  <c r="T9" i="10" a="1"/>
  <c r="J11" i="10"/>
  <c r="S11" i="10" a="1"/>
  <c r="Y11" i="10" a="1"/>
  <c r="O12" i="10"/>
  <c r="R13" i="10" a="1"/>
  <c r="X13" i="10" a="1"/>
  <c r="M14" i="10"/>
  <c r="Q15" i="10" a="1"/>
  <c r="W15" i="10" a="1"/>
  <c r="P17" i="10" a="1"/>
  <c r="V17" i="10" a="1"/>
  <c r="I18" i="10"/>
  <c r="U19" i="10" a="1"/>
  <c r="G20" i="10"/>
  <c r="T21" i="10" a="1"/>
  <c r="J23" i="10"/>
  <c r="S23" i="10" a="1"/>
  <c r="Y23" i="10" a="1"/>
  <c r="T16" i="10" a="1"/>
  <c r="S18" i="10" a="1"/>
  <c r="Y18" i="10" a="1"/>
  <c r="K23" i="10"/>
  <c r="P24" i="10" a="1"/>
  <c r="V24" i="10" a="1"/>
  <c r="I8" i="10"/>
  <c r="T11" i="10" a="1"/>
  <c r="Q17" i="10" a="1"/>
  <c r="W17" i="10" a="1"/>
  <c r="P19" i="10" a="1"/>
  <c r="V19" i="10" a="1"/>
  <c r="I20" i="10"/>
  <c r="N21" i="10"/>
  <c r="U21" i="10" a="1"/>
  <c r="T23" i="10" a="1"/>
  <c r="Q12" i="10" a="1"/>
  <c r="I15" i="10"/>
  <c r="Q24" i="10" a="1"/>
  <c r="P9" i="10" a="1"/>
  <c r="S15" i="10" a="1"/>
  <c r="R17" i="10" a="1"/>
  <c r="Q19" i="10" a="1"/>
  <c r="P21" i="10" a="1"/>
  <c r="Q9" i="8" a="1"/>
  <c r="W9" i="8" a="1"/>
  <c r="Q21" i="8" a="1"/>
  <c r="W21" i="8" a="1"/>
  <c r="O13" i="8"/>
  <c r="Q16" i="8" a="1"/>
  <c r="W16" i="8" a="1"/>
  <c r="R9" i="8" a="1"/>
  <c r="X9" i="8" a="1"/>
  <c r="F11" i="8"/>
  <c r="Q11" i="8" a="1"/>
  <c r="W11" i="8" a="1"/>
  <c r="P13" i="8" a="1"/>
  <c r="V13" i="8" a="1"/>
  <c r="N15" i="8"/>
  <c r="U15" i="8" a="1"/>
  <c r="R21" i="8" a="1"/>
  <c r="X21" i="8" a="1"/>
  <c r="Q23" i="8" a="1"/>
  <c r="W23" i="8" a="1"/>
  <c r="U10" i="8" a="1"/>
  <c r="G11" i="8"/>
  <c r="R16" i="8" a="1"/>
  <c r="X16" i="8" a="1"/>
  <c r="G23" i="8"/>
  <c r="S9" i="8" a="1"/>
  <c r="Y9" i="8" a="1"/>
  <c r="H11" i="8"/>
  <c r="R11" i="8" a="1"/>
  <c r="X11" i="8" a="1"/>
  <c r="F13" i="8"/>
  <c r="Q13" i="8" a="1"/>
  <c r="W13" i="8" a="1"/>
  <c r="P15" i="8" a="1"/>
  <c r="V15" i="8" a="1"/>
  <c r="S21" i="8" a="1"/>
  <c r="Y21" i="8" a="1"/>
  <c r="R23" i="8" a="1"/>
  <c r="X23" i="8" a="1"/>
  <c r="I11" i="8"/>
  <c r="S16" i="8" a="1"/>
  <c r="Y16" i="8" a="1"/>
  <c r="T9" i="8" a="1"/>
  <c r="J11" i="8"/>
  <c r="S11" i="8" a="1"/>
  <c r="Y11" i="8" a="1"/>
  <c r="O12" i="8"/>
  <c r="Q15" i="8" a="1"/>
  <c r="W15" i="8" a="1"/>
  <c r="I18" i="8"/>
  <c r="T21" i="8" a="1"/>
  <c r="J23" i="8"/>
  <c r="S23" i="8" a="1"/>
  <c r="Y23" i="8" a="1"/>
  <c r="R8" i="8" a="1"/>
  <c r="X8" i="8" a="1"/>
  <c r="F10" i="8"/>
  <c r="Q10" i="8" a="1"/>
  <c r="W10" i="8" a="1"/>
  <c r="T16" i="8" a="1"/>
  <c r="S18" i="8" a="1"/>
  <c r="Y18" i="8" a="1"/>
  <c r="R20" i="8" a="1"/>
  <c r="X20" i="8" a="1"/>
  <c r="F22" i="8"/>
  <c r="Q22" i="8" a="1"/>
  <c r="W22" i="8" a="1"/>
  <c r="K23" i="8"/>
  <c r="P24" i="8" a="1"/>
  <c r="V24" i="8" a="1"/>
  <c r="I8" i="8"/>
  <c r="U9" i="8" a="1"/>
  <c r="L11" i="8"/>
  <c r="T11" i="8" a="1"/>
  <c r="S13" i="8" a="1"/>
  <c r="Y13" i="8" a="1"/>
  <c r="H15" i="8"/>
  <c r="R15" i="8" a="1"/>
  <c r="X15" i="8" a="1"/>
  <c r="Q17" i="8" a="1"/>
  <c r="W17" i="8" a="1"/>
  <c r="I20" i="8"/>
  <c r="U21" i="8" a="1"/>
  <c r="T23" i="8" a="1"/>
  <c r="S8" i="8" a="1"/>
  <c r="R10" i="8" a="1"/>
  <c r="F12" i="8"/>
  <c r="AJ12" i="8" s="1"/>
  <c r="Q12" i="8" a="1"/>
  <c r="I15" i="8"/>
  <c r="G17" i="8"/>
  <c r="J20" i="8"/>
  <c r="S20" i="8" a="1"/>
  <c r="R22" i="8" a="1"/>
  <c r="M23" i="8"/>
  <c r="Q24" i="8" a="1"/>
  <c r="P9" i="8" a="1"/>
  <c r="S15" i="8" a="1"/>
  <c r="R17" i="8" a="1"/>
  <c r="Q19" i="8" a="1"/>
  <c r="P21" i="8" a="1"/>
  <c r="T8" i="7" a="1"/>
  <c r="S10" i="7" a="1"/>
  <c r="Y10" i="7" a="1"/>
  <c r="H12" i="7"/>
  <c r="R12" i="7" a="1"/>
  <c r="X12" i="7" a="1"/>
  <c r="Q14" i="7" a="1"/>
  <c r="W14" i="7" a="1"/>
  <c r="P16" i="7" a="1"/>
  <c r="V16" i="7" a="1"/>
  <c r="I17" i="7"/>
  <c r="U18" i="7" a="1"/>
  <c r="L20" i="7"/>
  <c r="T20" i="7" a="1"/>
  <c r="S22" i="7" a="1"/>
  <c r="Y22" i="7" a="1"/>
  <c r="R24" i="7" a="1"/>
  <c r="X24" i="7" a="1"/>
  <c r="M8" i="7"/>
  <c r="Q9" i="7" a="1"/>
  <c r="P11" i="7" a="1"/>
  <c r="AJ11" i="7" s="1"/>
  <c r="I12" i="7"/>
  <c r="U13" i="7" a="1"/>
  <c r="G14" i="7"/>
  <c r="T15" i="7" a="1"/>
  <c r="S17" i="7" a="1"/>
  <c r="R19" i="7" a="1"/>
  <c r="X19" i="7" a="1"/>
  <c r="M20" i="7"/>
  <c r="F21" i="7"/>
  <c r="Q21" i="7" a="1"/>
  <c r="P23" i="7" a="1"/>
  <c r="V23" i="7" a="1"/>
  <c r="N8" i="7"/>
  <c r="U8" i="7" a="1"/>
  <c r="T10" i="7" a="1"/>
  <c r="S12" i="7" a="1"/>
  <c r="Y12" i="7" a="1"/>
  <c r="H14" i="7"/>
  <c r="R14" i="7" a="1"/>
  <c r="X14" i="7" a="1"/>
  <c r="F16" i="7"/>
  <c r="Q16" i="7" a="1"/>
  <c r="P18" i="7" a="1"/>
  <c r="V18" i="7" a="1"/>
  <c r="N20" i="7"/>
  <c r="U20" i="7" a="1"/>
  <c r="G21" i="7"/>
  <c r="T22" i="7" a="1"/>
  <c r="S24" i="7" a="1"/>
  <c r="Y24" i="7" a="1"/>
  <c r="P13" i="7" a="1"/>
  <c r="V13" i="7" a="1"/>
  <c r="I14" i="7"/>
  <c r="N15" i="7"/>
  <c r="S19" i="7" a="1"/>
  <c r="Y19" i="7" a="1"/>
  <c r="Q23" i="7" a="1"/>
  <c r="W23" i="7" a="1"/>
  <c r="T12" i="7" a="1"/>
  <c r="J14" i="7"/>
  <c r="S14" i="7" a="1"/>
  <c r="Y14" i="7" a="1"/>
  <c r="O15" i="7"/>
  <c r="P20" i="7" a="1"/>
  <c r="V20" i="7" a="1"/>
  <c r="I21" i="7"/>
  <c r="N22" i="7"/>
  <c r="U22" i="7" a="1"/>
  <c r="T24" i="7" a="1"/>
  <c r="Q13" i="7" a="1"/>
  <c r="W13" i="7" a="1"/>
  <c r="T19" i="7" a="1"/>
  <c r="Q8" i="7" a="1"/>
  <c r="W8" i="7" a="1"/>
  <c r="P10" i="7" a="1"/>
  <c r="V10" i="7" a="1"/>
  <c r="U12" i="7" a="1"/>
  <c r="T14" i="7" a="1"/>
  <c r="Q20" i="7" a="1"/>
  <c r="W20" i="7" a="1"/>
  <c r="P22" i="7" a="1"/>
  <c r="V22" i="7" a="1"/>
  <c r="U24" i="7" a="1"/>
  <c r="R13" i="7" a="1"/>
  <c r="U19" i="7" a="1"/>
  <c r="R8" i="7" a="1"/>
  <c r="Q10" i="7" a="1"/>
  <c r="P12" i="7" a="1"/>
  <c r="U14" i="7" a="1"/>
  <c r="S18" i="7" a="1"/>
  <c r="R20" i="7" a="1"/>
  <c r="Q22" i="7" a="1"/>
  <c r="P24" i="7" a="1"/>
  <c r="P19" i="7" a="1"/>
  <c r="AJ19" i="7" s="1"/>
  <c r="P14" i="7" a="1"/>
  <c r="M5" i="7"/>
  <c r="I10" i="4"/>
  <c r="I6" i="10" s="1"/>
  <c r="F10" i="4"/>
  <c r="F6" i="8" s="1"/>
  <c r="G10" i="4"/>
  <c r="H10" i="4"/>
  <c r="I28" i="4"/>
  <c r="F28" i="4"/>
  <c r="G28" i="4"/>
  <c r="H28" i="4"/>
  <c r="H24" i="7" s="1"/>
  <c r="I13" i="4"/>
  <c r="H13" i="4"/>
  <c r="F13" i="4"/>
  <c r="G13" i="4"/>
  <c r="G9" i="7" s="1"/>
  <c r="G22" i="4"/>
  <c r="G18" i="7" s="1"/>
  <c r="N17" i="4"/>
  <c r="N10" i="4"/>
  <c r="N22" i="4"/>
  <c r="F21" i="4"/>
  <c r="L12" i="4"/>
  <c r="N27" i="4"/>
  <c r="K12" i="4"/>
  <c r="N9" i="4"/>
  <c r="L27" i="4"/>
  <c r="F18" i="4"/>
  <c r="J12" i="4"/>
  <c r="N11" i="4"/>
  <c r="L9" i="4"/>
  <c r="I27" i="4"/>
  <c r="K24" i="4"/>
  <c r="N21" i="4"/>
  <c r="N17" i="8" s="1"/>
  <c r="G12" i="4"/>
  <c r="I9" i="4"/>
  <c r="H27" i="4"/>
  <c r="N23" i="4"/>
  <c r="L21" i="4"/>
  <c r="L17" i="10" s="1"/>
  <c r="N16" i="4"/>
  <c r="N12" i="7" s="1"/>
  <c r="O13" i="4"/>
  <c r="F12" i="4"/>
  <c r="H9" i="4"/>
  <c r="H12" i="4"/>
  <c r="K21" i="4"/>
  <c r="G9" i="4"/>
  <c r="N28" i="4"/>
  <c r="N24" i="7" s="1"/>
  <c r="F27" i="4"/>
  <c r="F23" i="7" s="1"/>
  <c r="J21" i="4"/>
  <c r="J17" i="7" s="1"/>
  <c r="N20" i="4"/>
  <c r="N13" i="4"/>
  <c r="N9" i="7" s="1"/>
  <c r="O10" i="4"/>
  <c r="F9" i="4"/>
  <c r="E56" i="9"/>
  <c r="F56" i="9"/>
  <c r="F56" i="6"/>
  <c r="F58" i="6"/>
  <c r="F45" i="6"/>
  <c r="F44" i="6"/>
  <c r="E42" i="9"/>
  <c r="F42" i="9" s="1"/>
  <c r="F61" i="9"/>
  <c r="F59" i="9"/>
  <c r="E55" i="9"/>
  <c r="F54" i="9"/>
  <c r="H37" i="10"/>
  <c r="T30" i="10"/>
  <c r="F57" i="9"/>
  <c r="F45" i="9"/>
  <c r="F50" i="9"/>
  <c r="F43" i="6"/>
  <c r="F55" i="6"/>
  <c r="F48" i="6"/>
  <c r="O26" i="4"/>
  <c r="O23" i="4"/>
  <c r="O19" i="8" s="1"/>
  <c r="O20" i="4"/>
  <c r="O14" i="4"/>
  <c r="O10" i="10" s="1"/>
  <c r="O11" i="4"/>
  <c r="M26" i="4"/>
  <c r="M22" i="7" s="1"/>
  <c r="M23" i="4"/>
  <c r="M20" i="4"/>
  <c r="M16" i="7" s="1"/>
  <c r="M17" i="4"/>
  <c r="M14" i="4"/>
  <c r="M11" i="4"/>
  <c r="L26" i="4"/>
  <c r="L22" i="7" s="1"/>
  <c r="L23" i="4"/>
  <c r="L20" i="4"/>
  <c r="L17" i="4"/>
  <c r="L14" i="4"/>
  <c r="L10" i="7" s="1"/>
  <c r="L11" i="4"/>
  <c r="L7" i="8" s="1"/>
  <c r="O28" i="4"/>
  <c r="O24" i="7" s="1"/>
  <c r="K26" i="4"/>
  <c r="O25" i="4"/>
  <c r="K23" i="4"/>
  <c r="O22" i="4"/>
  <c r="K20" i="4"/>
  <c r="K17" i="4"/>
  <c r="K13" i="8" s="1"/>
  <c r="K14" i="4"/>
  <c r="K10" i="7" s="1"/>
  <c r="K11" i="4"/>
  <c r="J26" i="4"/>
  <c r="J23" i="4"/>
  <c r="J20" i="4"/>
  <c r="J17" i="4"/>
  <c r="J14" i="4"/>
  <c r="J11" i="4"/>
  <c r="M28" i="4"/>
  <c r="M24" i="10" s="1"/>
  <c r="I26" i="4"/>
  <c r="M25" i="4"/>
  <c r="I23" i="4"/>
  <c r="M22" i="4"/>
  <c r="I20" i="4"/>
  <c r="I16" i="7" s="1"/>
  <c r="M19" i="4"/>
  <c r="M15" i="7" s="1"/>
  <c r="I17" i="4"/>
  <c r="M16" i="4"/>
  <c r="I14" i="4"/>
  <c r="M13" i="4"/>
  <c r="M9" i="7" s="1"/>
  <c r="I11" i="4"/>
  <c r="M10" i="4"/>
  <c r="L28" i="4"/>
  <c r="H26" i="4"/>
  <c r="L25" i="4"/>
  <c r="L21" i="7" s="1"/>
  <c r="H23" i="4"/>
  <c r="L22" i="4"/>
  <c r="P21" i="4"/>
  <c r="H20" i="4"/>
  <c r="H16" i="7" s="1"/>
  <c r="L19" i="4"/>
  <c r="P18" i="4"/>
  <c r="H17" i="4"/>
  <c r="L16" i="4"/>
  <c r="H14" i="4"/>
  <c r="L13" i="4"/>
  <c r="L9" i="8" s="1"/>
  <c r="H11" i="4"/>
  <c r="L10" i="4"/>
  <c r="L6" i="8" s="1"/>
  <c r="K28" i="4"/>
  <c r="K24" i="7" s="1"/>
  <c r="O27" i="4"/>
  <c r="O23" i="8" s="1"/>
  <c r="G26" i="4"/>
  <c r="K25" i="4"/>
  <c r="K21" i="7" s="1"/>
  <c r="O24" i="4"/>
  <c r="O20" i="7" s="1"/>
  <c r="G23" i="4"/>
  <c r="K22" i="4"/>
  <c r="K18" i="8" s="1"/>
  <c r="O21" i="4"/>
  <c r="G20" i="4"/>
  <c r="K19" i="4"/>
  <c r="O18" i="4"/>
  <c r="G17" i="4"/>
  <c r="G13" i="8" s="1"/>
  <c r="K16" i="4"/>
  <c r="O15" i="4"/>
  <c r="G14" i="4"/>
  <c r="G10" i="8" s="1"/>
  <c r="K13" i="4"/>
  <c r="K9" i="7" s="1"/>
  <c r="O12" i="4"/>
  <c r="O8" i="10" s="1"/>
  <c r="G11" i="4"/>
  <c r="K10" i="4"/>
  <c r="O9" i="4"/>
  <c r="J28" i="4"/>
  <c r="J25" i="4"/>
  <c r="J21" i="7" s="1"/>
  <c r="J22" i="4"/>
  <c r="J18" i="7" s="1"/>
  <c r="J19" i="4"/>
  <c r="J16" i="4"/>
  <c r="J13" i="4"/>
  <c r="J9" i="7" s="1"/>
  <c r="J10" i="4"/>
  <c r="J6" i="8" s="1"/>
  <c r="C35" i="3"/>
  <c r="Z25" i="10"/>
  <c r="C18" i="9" s="1"/>
  <c r="L19" i="3"/>
  <c r="L32" i="3" s="1"/>
  <c r="C25" i="10"/>
  <c r="L6" i="3"/>
  <c r="L27" i="3" s="1"/>
  <c r="D15" i="3"/>
  <c r="D30" i="3" s="1"/>
  <c r="C33" i="3"/>
  <c r="C34" i="3" s="1"/>
  <c r="C36" i="3" s="1"/>
  <c r="E28" i="3"/>
  <c r="D28" i="3"/>
  <c r="D10" i="3"/>
  <c r="D29" i="3" s="1"/>
  <c r="D31" i="3"/>
  <c r="D19" i="3"/>
  <c r="D32" i="3" s="1"/>
  <c r="F15" i="3"/>
  <c r="F30" i="3" s="1"/>
  <c r="E31" i="3"/>
  <c r="H19" i="3"/>
  <c r="H32" i="3" s="1"/>
  <c r="J19" i="3"/>
  <c r="J32" i="3" s="1"/>
  <c r="I19" i="3"/>
  <c r="I32" i="3" s="1"/>
  <c r="J6" i="3"/>
  <c r="C27" i="3"/>
  <c r="E15" i="3"/>
  <c r="E30" i="3" s="1"/>
  <c r="D27" i="3"/>
  <c r="E19" i="3"/>
  <c r="E32" i="3" s="1"/>
  <c r="G19" i="3"/>
  <c r="G32" i="3" s="1"/>
  <c r="F19" i="3"/>
  <c r="F32" i="3" s="1"/>
  <c r="I6" i="3"/>
  <c r="F6" i="3"/>
  <c r="K6" i="3"/>
  <c r="H6" i="3"/>
  <c r="G6" i="3"/>
  <c r="E6" i="3"/>
  <c r="K19" i="3"/>
  <c r="K32" i="3" s="1"/>
  <c r="P33" i="4"/>
  <c r="P34" i="4"/>
  <c r="P35" i="4"/>
  <c r="P36" i="4"/>
  <c r="P37" i="4"/>
  <c r="P38" i="4"/>
  <c r="P39" i="4"/>
  <c r="P40" i="4"/>
  <c r="P41" i="4"/>
  <c r="P42" i="4"/>
  <c r="P43" i="4"/>
  <c r="P44" i="4"/>
  <c r="P45" i="4"/>
  <c r="P46" i="4"/>
  <c r="P47" i="4"/>
  <c r="P48" i="4"/>
  <c r="P49" i="4"/>
  <c r="P50" i="4"/>
  <c r="P51" i="4"/>
  <c r="P52" i="4"/>
  <c r="C7" i="6"/>
  <c r="C5" i="6"/>
  <c r="Q5" i="2"/>
  <c r="Q6" i="2"/>
  <c r="Q7" i="2"/>
  <c r="Q8" i="2"/>
  <c r="Q9" i="2"/>
  <c r="Q10" i="2"/>
  <c r="Q11" i="2"/>
  <c r="Q12" i="2"/>
  <c r="Q13" i="2"/>
  <c r="Q14" i="2"/>
  <c r="Q15" i="2"/>
  <c r="Q16" i="2"/>
  <c r="Q17" i="2"/>
  <c r="Q18" i="2"/>
  <c r="Q19" i="2"/>
  <c r="Q20" i="2"/>
  <c r="Q21" i="2"/>
  <c r="Q22" i="2"/>
  <c r="Q23" i="2"/>
  <c r="Q24" i="2"/>
  <c r="C7" i="5"/>
  <c r="O53" i="4"/>
  <c r="N53" i="4"/>
  <c r="M53" i="4"/>
  <c r="L53" i="4"/>
  <c r="K53" i="4"/>
  <c r="J53" i="4"/>
  <c r="I53" i="4"/>
  <c r="H53" i="4"/>
  <c r="G53" i="4"/>
  <c r="F53" i="4"/>
  <c r="J63" i="6"/>
  <c r="F32" i="4"/>
  <c r="F8" i="4"/>
  <c r="F4" i="4"/>
  <c r="I25" i="2"/>
  <c r="J25" i="2"/>
  <c r="K25" i="2"/>
  <c r="L25" i="2"/>
  <c r="M25" i="2"/>
  <c r="N25" i="2"/>
  <c r="H25" i="2"/>
  <c r="M23" i="10" l="1"/>
  <c r="M23" i="7"/>
  <c r="F21" i="8"/>
  <c r="AJ21" i="8" s="1"/>
  <c r="F21" i="10"/>
  <c r="AJ21" i="10" s="1"/>
  <c r="H15" i="7"/>
  <c r="H15" i="10"/>
  <c r="G14" i="8"/>
  <c r="G14" i="10"/>
  <c r="AJ11" i="8"/>
  <c r="AJ10" i="8"/>
  <c r="AJ22" i="8"/>
  <c r="AA22" i="8" s="1"/>
  <c r="AJ10" i="7"/>
  <c r="M17" i="7"/>
  <c r="M17" i="8"/>
  <c r="L14" i="8"/>
  <c r="L14" i="7"/>
  <c r="K14" i="8"/>
  <c r="K14" i="7"/>
  <c r="H18" i="7"/>
  <c r="H18" i="8"/>
  <c r="M14" i="8"/>
  <c r="M14" i="7"/>
  <c r="G12" i="7"/>
  <c r="G12" i="8"/>
  <c r="AK12" i="8" s="1"/>
  <c r="G12" i="10"/>
  <c r="C38" i="7"/>
  <c r="W80" i="10"/>
  <c r="D67" i="6"/>
  <c r="C67" i="6" s="1"/>
  <c r="F60" i="6"/>
  <c r="D65" i="6"/>
  <c r="C65" i="6" s="1"/>
  <c r="D66" i="6"/>
  <c r="C66" i="6" s="1"/>
  <c r="D68" i="9"/>
  <c r="C68" i="9" s="1"/>
  <c r="D69" i="9"/>
  <c r="C69" i="9" s="1"/>
  <c r="D67" i="9"/>
  <c r="C67" i="9" s="1"/>
  <c r="W90" i="10"/>
  <c r="C45" i="8"/>
  <c r="E45" i="10" a="1"/>
  <c r="W140" i="10"/>
  <c r="AJ13" i="10"/>
  <c r="AA13" i="10" s="1"/>
  <c r="C45" i="10"/>
  <c r="AJ18" i="7"/>
  <c r="AJ19" i="8"/>
  <c r="AA19" i="8" s="1"/>
  <c r="D45" i="10" a="1"/>
  <c r="F20" i="10"/>
  <c r="AJ20" i="10" s="1"/>
  <c r="K5" i="7"/>
  <c r="H41" i="7" s="1"/>
  <c r="AJ21" i="7"/>
  <c r="F15" i="10"/>
  <c r="AJ15" i="10" s="1"/>
  <c r="N11" i="8"/>
  <c r="AJ22" i="10"/>
  <c r="AA22" i="10" s="1"/>
  <c r="N14" i="7"/>
  <c r="AJ13" i="7"/>
  <c r="N21" i="7"/>
  <c r="K5" i="8"/>
  <c r="I45" i="8" s="1"/>
  <c r="H21" i="8"/>
  <c r="H40" i="7"/>
  <c r="G15" i="8"/>
  <c r="E45" i="8" a="1"/>
  <c r="G15" i="7"/>
  <c r="AJ22" i="7"/>
  <c r="F15" i="7"/>
  <c r="AJ15" i="7" s="1"/>
  <c r="H21" i="7"/>
  <c r="F18" i="8"/>
  <c r="AJ18" i="8" s="1"/>
  <c r="J20" i="10"/>
  <c r="N11" i="10"/>
  <c r="K5" i="10"/>
  <c r="D45" i="8" a="1"/>
  <c r="AJ15" i="8"/>
  <c r="AK12" i="10"/>
  <c r="AB12" i="10" s="1"/>
  <c r="N14" i="8"/>
  <c r="F12" i="7"/>
  <c r="AJ12" i="7" s="1"/>
  <c r="M11" i="7"/>
  <c r="M11" i="10"/>
  <c r="W50" i="8"/>
  <c r="F20" i="8"/>
  <c r="AJ20" i="8" s="1"/>
  <c r="K11" i="10"/>
  <c r="K11" i="8"/>
  <c r="I17" i="8"/>
  <c r="W40" i="10"/>
  <c r="AK11" i="10"/>
  <c r="AB11" i="10" s="1"/>
  <c r="H20" i="7"/>
  <c r="H20" i="8"/>
  <c r="W70" i="10"/>
  <c r="AJ20" i="7"/>
  <c r="AJ16" i="10"/>
  <c r="U30" i="10"/>
  <c r="AJ16" i="8"/>
  <c r="AJ19" i="10"/>
  <c r="AA19" i="10" s="1"/>
  <c r="U30" i="8"/>
  <c r="AJ16" i="7"/>
  <c r="AA16" i="7" s="1"/>
  <c r="E36" i="7"/>
  <c r="E12" i="5"/>
  <c r="E13" i="6"/>
  <c r="E15" i="9"/>
  <c r="N32" i="8"/>
  <c r="N32" i="10"/>
  <c r="O14" i="8"/>
  <c r="O14" i="7"/>
  <c r="O14" i="10"/>
  <c r="H7" i="10"/>
  <c r="H7" i="8"/>
  <c r="H7" i="7"/>
  <c r="H22" i="10"/>
  <c r="H22" i="7"/>
  <c r="H22" i="8"/>
  <c r="M21" i="10"/>
  <c r="M21" i="8"/>
  <c r="K16" i="10"/>
  <c r="K16" i="8"/>
  <c r="M7" i="8"/>
  <c r="M7" i="7"/>
  <c r="M7" i="10"/>
  <c r="K17" i="10"/>
  <c r="K17" i="8"/>
  <c r="K20" i="7"/>
  <c r="K20" i="10"/>
  <c r="K20" i="8"/>
  <c r="L8" i="8"/>
  <c r="L8" i="10"/>
  <c r="F24" i="10"/>
  <c r="AJ24" i="10" s="1"/>
  <c r="F24" i="7"/>
  <c r="AJ24" i="7" s="1"/>
  <c r="AA24" i="7" s="1"/>
  <c r="L9" i="7"/>
  <c r="J18" i="10"/>
  <c r="J21" i="8"/>
  <c r="J21" i="10"/>
  <c r="K15" i="8"/>
  <c r="K15" i="10"/>
  <c r="L24" i="10"/>
  <c r="L24" i="8"/>
  <c r="I22" i="7"/>
  <c r="I22" i="10"/>
  <c r="I22" i="8"/>
  <c r="O18" i="7"/>
  <c r="O18" i="10"/>
  <c r="O18" i="8"/>
  <c r="M10" i="10"/>
  <c r="M10" i="8"/>
  <c r="H8" i="7"/>
  <c r="H8" i="10"/>
  <c r="H8" i="8"/>
  <c r="I23" i="7"/>
  <c r="I23" i="8"/>
  <c r="I23" i="10"/>
  <c r="F17" i="10"/>
  <c r="AJ17" i="10" s="1"/>
  <c r="AA17" i="10" s="1"/>
  <c r="F17" i="7"/>
  <c r="AJ17" i="7" s="1"/>
  <c r="F17" i="8"/>
  <c r="AJ17" i="8" s="1"/>
  <c r="AA17" i="8" s="1"/>
  <c r="I24" i="10"/>
  <c r="I24" i="8"/>
  <c r="O10" i="8"/>
  <c r="L9" i="10"/>
  <c r="D13" i="6"/>
  <c r="D12" i="5"/>
  <c r="N31" i="10"/>
  <c r="D15" i="9"/>
  <c r="D36" i="7"/>
  <c r="N31" i="8"/>
  <c r="J24" i="8"/>
  <c r="J24" i="10"/>
  <c r="G16" i="8"/>
  <c r="G16" i="10"/>
  <c r="H10" i="7"/>
  <c r="H10" i="10"/>
  <c r="H10" i="8"/>
  <c r="M6" i="7"/>
  <c r="J80" i="7"/>
  <c r="J21" i="6" a="1"/>
  <c r="D177" i="10" a="1"/>
  <c r="E217" i="10" a="1"/>
  <c r="E107" i="10" a="1"/>
  <c r="C117" i="10"/>
  <c r="C227" i="8"/>
  <c r="E117" i="8" a="1"/>
  <c r="D207" i="8" a="1"/>
  <c r="C147" i="8"/>
  <c r="M6" i="10"/>
  <c r="J23" i="9" a="1"/>
  <c r="J220" i="7"/>
  <c r="E177" i="10" a="1"/>
  <c r="C187" i="10"/>
  <c r="D137" i="10" a="1"/>
  <c r="D117" i="10" a="1"/>
  <c r="D157" i="10" a="1"/>
  <c r="E167" i="8" a="1"/>
  <c r="D127" i="8" a="1"/>
  <c r="C137" i="8"/>
  <c r="E217" i="8" a="1"/>
  <c r="D57" i="8" a="1"/>
  <c r="J130" i="7"/>
  <c r="C167" i="10"/>
  <c r="D187" i="10" a="1"/>
  <c r="E137" i="10" a="1"/>
  <c r="C57" i="10"/>
  <c r="D227" i="8" a="1"/>
  <c r="E127" i="8" a="1"/>
  <c r="C157" i="8"/>
  <c r="C117" i="8"/>
  <c r="J70" i="7"/>
  <c r="J170" i="7"/>
  <c r="D227" i="10" a="1"/>
  <c r="C207" i="10"/>
  <c r="D67" i="10" a="1"/>
  <c r="D57" i="10" a="1"/>
  <c r="C147" i="10"/>
  <c r="E227" i="8" a="1"/>
  <c r="C107" i="8"/>
  <c r="E207" i="8" a="1"/>
  <c r="E147" i="8" a="1"/>
  <c r="D147" i="8" a="1"/>
  <c r="J90" i="7"/>
  <c r="J180" i="7"/>
  <c r="C237" i="10"/>
  <c r="C107" i="10"/>
  <c r="C127" i="10"/>
  <c r="C77" i="10"/>
  <c r="E157" i="10" a="1"/>
  <c r="C97" i="10"/>
  <c r="C197" i="8"/>
  <c r="D167" i="8" a="1"/>
  <c r="D77" i="8" a="1"/>
  <c r="D137" i="8" a="1"/>
  <c r="J60" i="7"/>
  <c r="J100" i="7"/>
  <c r="D167" i="10" a="1"/>
  <c r="E187" i="10" a="1"/>
  <c r="D207" i="10" a="1"/>
  <c r="D97" i="10" a="1"/>
  <c r="C87" i="10"/>
  <c r="C237" i="8"/>
  <c r="D107" i="8" a="1"/>
  <c r="C187" i="8"/>
  <c r="C67" i="8"/>
  <c r="C77" i="8"/>
  <c r="J120" i="7"/>
  <c r="J150" i="7"/>
  <c r="E227" i="10" a="1"/>
  <c r="E117" i="10" a="1"/>
  <c r="D127" i="10" a="1"/>
  <c r="E57" i="10" a="1"/>
  <c r="D87" i="10" a="1"/>
  <c r="D237" i="8" a="1"/>
  <c r="D197" i="8" a="1"/>
  <c r="C217" i="8"/>
  <c r="C87" i="8"/>
  <c r="D87" i="8" a="1"/>
  <c r="M6" i="8"/>
  <c r="J190" i="7"/>
  <c r="J160" i="7"/>
  <c r="D237" i="10" a="1"/>
  <c r="C157" i="10"/>
  <c r="D147" i="10" a="1"/>
  <c r="D77" i="10" a="1"/>
  <c r="E87" i="10" a="1"/>
  <c r="E237" i="8" a="1"/>
  <c r="C207" i="8"/>
  <c r="E137" i="8" a="1"/>
  <c r="C97" i="8"/>
  <c r="E87" i="8" a="1"/>
  <c r="J200" i="7"/>
  <c r="J140" i="7"/>
  <c r="E167" i="10" a="1"/>
  <c r="D197" i="10" a="1"/>
  <c r="E207" i="10" a="1"/>
  <c r="E77" i="10" a="1"/>
  <c r="E97" i="10" a="1"/>
  <c r="C177" i="8"/>
  <c r="E107" i="8" a="1"/>
  <c r="E157" i="8" a="1"/>
  <c r="D157" i="8" a="1"/>
  <c r="D97" i="8" a="1"/>
  <c r="J50" i="7"/>
  <c r="E237" i="10" a="1"/>
  <c r="C197" i="10"/>
  <c r="D107" i="10" a="1"/>
  <c r="E127" i="10" a="1"/>
  <c r="C67" i="10"/>
  <c r="C167" i="8"/>
  <c r="D177" i="8" a="1"/>
  <c r="E57" i="8" a="1"/>
  <c r="E67" i="8" a="1"/>
  <c r="E97" i="8" a="1"/>
  <c r="J110" i="7"/>
  <c r="C227" i="10"/>
  <c r="C217" i="10"/>
  <c r="C137" i="10"/>
  <c r="E147" i="10" a="1"/>
  <c r="E177" i="8" a="1"/>
  <c r="D117" i="8" a="1"/>
  <c r="D67" i="8" a="1"/>
  <c r="E187" i="8" a="1"/>
  <c r="E77" i="8" a="1"/>
  <c r="J210" i="7"/>
  <c r="J230" i="7"/>
  <c r="E197" i="10" a="1"/>
  <c r="C177" i="10"/>
  <c r="D217" i="10" a="1"/>
  <c r="E67" i="10" a="1"/>
  <c r="D187" i="8" a="1"/>
  <c r="C127" i="8"/>
  <c r="E197" i="8" a="1"/>
  <c r="D217" i="8" a="1"/>
  <c r="C57" i="8"/>
  <c r="K19" i="8"/>
  <c r="K19" i="7"/>
  <c r="K19" i="10"/>
  <c r="M13" i="8"/>
  <c r="M13" i="10"/>
  <c r="C13" i="9"/>
  <c r="C14" i="9" s="1"/>
  <c r="H5" i="7"/>
  <c r="E50" i="7"/>
  <c r="E110" i="7"/>
  <c r="E100" i="7"/>
  <c r="E210" i="7"/>
  <c r="E21" i="6" a="1"/>
  <c r="E230" i="7"/>
  <c r="E23" i="9" a="1"/>
  <c r="E40" i="7"/>
  <c r="E70" i="7"/>
  <c r="E60" i="7"/>
  <c r="E190" i="7"/>
  <c r="E200" i="7"/>
  <c r="E80" i="7"/>
  <c r="E150" i="7"/>
  <c r="E160" i="7"/>
  <c r="D232" i="10" a="1"/>
  <c r="E140" i="7"/>
  <c r="E232" i="10" a="1"/>
  <c r="E220" i="7"/>
  <c r="E120" i="7"/>
  <c r="C222" i="10"/>
  <c r="D162" i="10" a="1"/>
  <c r="D222" i="10" a="1"/>
  <c r="E162" i="10" a="1"/>
  <c r="E170" i="7"/>
  <c r="E180" i="7"/>
  <c r="E222" i="10" a="1"/>
  <c r="E90" i="7"/>
  <c r="E130" i="7"/>
  <c r="C182" i="10"/>
  <c r="C162" i="10"/>
  <c r="D182" i="10" a="1"/>
  <c r="C172" i="10"/>
  <c r="E182" i="10" a="1"/>
  <c r="D102" i="10" a="1"/>
  <c r="D172" i="10" a="1"/>
  <c r="E172" i="10" a="1"/>
  <c r="C192" i="10"/>
  <c r="E102" i="10" a="1"/>
  <c r="D192" i="10" a="1"/>
  <c r="C202" i="10"/>
  <c r="C232" i="10"/>
  <c r="E192" i="10" a="1"/>
  <c r="D202" i="10" a="1"/>
  <c r="D112" i="10" a="1"/>
  <c r="E132" i="10" a="1"/>
  <c r="C212" i="10"/>
  <c r="E112" i="10" a="1"/>
  <c r="D212" i="10" a="1"/>
  <c r="C102" i="10"/>
  <c r="E212" i="10" a="1"/>
  <c r="C42" i="10"/>
  <c r="C122" i="10"/>
  <c r="D122" i="10" a="1"/>
  <c r="E42" i="10" a="1"/>
  <c r="E202" i="10" a="1"/>
  <c r="E122" i="10" a="1"/>
  <c r="D152" i="10" a="1"/>
  <c r="C142" i="10"/>
  <c r="E152" i="10" a="1"/>
  <c r="D142" i="10" a="1"/>
  <c r="C132" i="10"/>
  <c r="E142" i="10" a="1"/>
  <c r="C112" i="10"/>
  <c r="D132" i="10" a="1"/>
  <c r="C152" i="10"/>
  <c r="C52" i="10"/>
  <c r="C62" i="10"/>
  <c r="D52" i="10" a="1"/>
  <c r="D62" i="10" a="1"/>
  <c r="E52" i="10" a="1"/>
  <c r="E62" i="10" a="1"/>
  <c r="C82" i="10"/>
  <c r="C72" i="10"/>
  <c r="D42" i="10" a="1"/>
  <c r="E82" i="10" a="1"/>
  <c r="C92" i="10"/>
  <c r="D92" i="10" a="1"/>
  <c r="D72" i="10" a="1"/>
  <c r="E72" i="10" a="1"/>
  <c r="D82" i="10" a="1"/>
  <c r="C222" i="8"/>
  <c r="D222" i="8" a="1"/>
  <c r="E222" i="8" a="1"/>
  <c r="C172" i="8"/>
  <c r="C182" i="8"/>
  <c r="E92" i="10" a="1"/>
  <c r="C232" i="8"/>
  <c r="D172" i="8" a="1"/>
  <c r="D182" i="8" a="1"/>
  <c r="C192" i="8"/>
  <c r="D232" i="8" a="1"/>
  <c r="E172" i="8" a="1"/>
  <c r="E182" i="8" a="1"/>
  <c r="E232" i="8" a="1"/>
  <c r="D202" i="8" a="1"/>
  <c r="C162" i="8"/>
  <c r="D162" i="8" a="1"/>
  <c r="E162" i="8" a="1"/>
  <c r="C102" i="8"/>
  <c r="E42" i="8" a="1"/>
  <c r="C52" i="8"/>
  <c r="D62" i="8" a="1"/>
  <c r="D102" i="8" a="1"/>
  <c r="D52" i="8" a="1"/>
  <c r="E62" i="8" a="1"/>
  <c r="E102" i="8" a="1"/>
  <c r="D142" i="8" a="1"/>
  <c r="C202" i="8"/>
  <c r="C122" i="8"/>
  <c r="E202" i="8" a="1"/>
  <c r="D122" i="8" a="1"/>
  <c r="E142" i="8" a="1"/>
  <c r="E92" i="8" a="1"/>
  <c r="E122" i="8" a="1"/>
  <c r="C212" i="8"/>
  <c r="C112" i="8"/>
  <c r="D212" i="8" a="1"/>
  <c r="D112" i="8" a="1"/>
  <c r="D132" i="8" a="1"/>
  <c r="E82" i="8" a="1"/>
  <c r="E212" i="8" a="1"/>
  <c r="E112" i="8" a="1"/>
  <c r="E132" i="8" a="1"/>
  <c r="C72" i="8"/>
  <c r="D192" i="8" a="1"/>
  <c r="E192" i="8" a="1"/>
  <c r="D42" i="8" a="1"/>
  <c r="C62" i="8"/>
  <c r="D92" i="8" a="1"/>
  <c r="C152" i="8"/>
  <c r="C142" i="8"/>
  <c r="D152" i="8" a="1"/>
  <c r="H5" i="8"/>
  <c r="E152" i="8" a="1"/>
  <c r="D72" i="8" a="1"/>
  <c r="C132" i="8"/>
  <c r="E52" i="8" a="1"/>
  <c r="E72" i="8" a="1"/>
  <c r="C82" i="8"/>
  <c r="D82" i="8" a="1"/>
  <c r="C42" i="8"/>
  <c r="C92" i="8"/>
  <c r="H5" i="10"/>
  <c r="N18" i="8"/>
  <c r="N18" i="10"/>
  <c r="H6" i="7"/>
  <c r="H6" i="8"/>
  <c r="H6" i="10"/>
  <c r="M10" i="7"/>
  <c r="O24" i="8"/>
  <c r="P166" i="10"/>
  <c r="P236" i="10"/>
  <c r="P226" i="10"/>
  <c r="P186" i="10"/>
  <c r="P106" i="10"/>
  <c r="P176" i="10"/>
  <c r="P136" i="10"/>
  <c r="P146" i="10"/>
  <c r="P126" i="10"/>
  <c r="P46" i="10"/>
  <c r="P206" i="10"/>
  <c r="P216" i="10"/>
  <c r="P116" i="10"/>
  <c r="P196" i="10"/>
  <c r="P156" i="10"/>
  <c r="P66" i="10"/>
  <c r="P56" i="10"/>
  <c r="P76" i="10"/>
  <c r="P86" i="10"/>
  <c r="P226" i="8"/>
  <c r="P96" i="10"/>
  <c r="P236" i="8"/>
  <c r="P176" i="8"/>
  <c r="P166" i="8"/>
  <c r="P196" i="8"/>
  <c r="P106" i="8"/>
  <c r="P206" i="8"/>
  <c r="P136" i="8"/>
  <c r="P186" i="8"/>
  <c r="P216" i="8"/>
  <c r="P116" i="8"/>
  <c r="P126" i="8"/>
  <c r="P86" i="8"/>
  <c r="P156" i="8"/>
  <c r="P56" i="8"/>
  <c r="P46" i="8"/>
  <c r="P146" i="8"/>
  <c r="P76" i="8"/>
  <c r="P66" i="8"/>
  <c r="P96" i="8"/>
  <c r="I19" i="5"/>
  <c r="P36" i="10"/>
  <c r="I20" i="6"/>
  <c r="P36" i="8"/>
  <c r="I22" i="9"/>
  <c r="O5" i="7"/>
  <c r="L220" i="7"/>
  <c r="L80" i="7"/>
  <c r="L23" i="9" a="1"/>
  <c r="L40" i="7"/>
  <c r="L70" i="7"/>
  <c r="L60" i="7"/>
  <c r="L120" i="7"/>
  <c r="L190" i="7"/>
  <c r="L100" i="7"/>
  <c r="L21" i="6" a="1"/>
  <c r="L230" i="7"/>
  <c r="L90" i="7"/>
  <c r="L200" i="7"/>
  <c r="L130" i="7"/>
  <c r="L170" i="7"/>
  <c r="L180" i="7"/>
  <c r="C229" i="10"/>
  <c r="L50" i="7"/>
  <c r="E229" i="10" a="1"/>
  <c r="C169" i="10"/>
  <c r="D169" i="10" a="1"/>
  <c r="L140" i="7"/>
  <c r="L150" i="7"/>
  <c r="L160" i="7"/>
  <c r="L110" i="7"/>
  <c r="C239" i="10"/>
  <c r="L210" i="7"/>
  <c r="C189" i="10"/>
  <c r="D239" i="10" a="1"/>
  <c r="D189" i="10" a="1"/>
  <c r="E239" i="10" a="1"/>
  <c r="D209" i="10" a="1"/>
  <c r="C179" i="10"/>
  <c r="D179" i="10" a="1"/>
  <c r="E179" i="10" a="1"/>
  <c r="D229" i="10" a="1"/>
  <c r="E169" i="10" a="1"/>
  <c r="C199" i="10"/>
  <c r="D199" i="10" a="1"/>
  <c r="C129" i="10"/>
  <c r="E139" i="10" a="1"/>
  <c r="D129" i="10" a="1"/>
  <c r="C119" i="10"/>
  <c r="E129" i="10" a="1"/>
  <c r="C209" i="10"/>
  <c r="D119" i="10" a="1"/>
  <c r="C149" i="10"/>
  <c r="E199" i="10" a="1"/>
  <c r="E209" i="10" a="1"/>
  <c r="C109" i="10"/>
  <c r="E119" i="10" a="1"/>
  <c r="E149" i="10" a="1"/>
  <c r="C219" i="10"/>
  <c r="D109" i="10" a="1"/>
  <c r="E189" i="10" a="1"/>
  <c r="D219" i="10" a="1"/>
  <c r="E109" i="10" a="1"/>
  <c r="E219" i="10" a="1"/>
  <c r="C139" i="10"/>
  <c r="D139" i="10" a="1"/>
  <c r="D69" i="10" a="1"/>
  <c r="E69" i="10" a="1"/>
  <c r="D149" i="10" a="1"/>
  <c r="C79" i="10"/>
  <c r="C59" i="10"/>
  <c r="C159" i="10"/>
  <c r="C49" i="10"/>
  <c r="D59" i="10" a="1"/>
  <c r="D159" i="10" a="1"/>
  <c r="D49" i="10" a="1"/>
  <c r="E59" i="10" a="1"/>
  <c r="E159" i="10" a="1"/>
  <c r="E49" i="10" a="1"/>
  <c r="C69" i="10"/>
  <c r="D79" i="10" a="1"/>
  <c r="E79" i="10" a="1"/>
  <c r="C89" i="10"/>
  <c r="D89" i="10" a="1"/>
  <c r="E89" i="10" a="1"/>
  <c r="D99" i="10" a="1"/>
  <c r="E229" i="8" a="1"/>
  <c r="C239" i="8"/>
  <c r="D239" i="8" a="1"/>
  <c r="E239" i="8" a="1"/>
  <c r="C179" i="8"/>
  <c r="D179" i="8" a="1"/>
  <c r="C189" i="8"/>
  <c r="C169" i="8"/>
  <c r="C99" i="10"/>
  <c r="C229" i="8"/>
  <c r="D169" i="8" a="1"/>
  <c r="E189" i="8" a="1"/>
  <c r="E99" i="10" a="1"/>
  <c r="D229" i="8" a="1"/>
  <c r="E169" i="8" a="1"/>
  <c r="C199" i="8"/>
  <c r="C109" i="8"/>
  <c r="E129" i="8" a="1"/>
  <c r="D199" i="8" a="1"/>
  <c r="C209" i="8"/>
  <c r="D109" i="8" a="1"/>
  <c r="C69" i="8"/>
  <c r="E199" i="8" a="1"/>
  <c r="D209" i="8" a="1"/>
  <c r="E109" i="8" a="1"/>
  <c r="E209" i="8" a="1"/>
  <c r="C219" i="8"/>
  <c r="C139" i="8"/>
  <c r="E49" i="8" a="1"/>
  <c r="E59" i="8" a="1"/>
  <c r="C99" i="8"/>
  <c r="D219" i="8" a="1"/>
  <c r="D139" i="8" a="1"/>
  <c r="C149" i="8"/>
  <c r="E219" i="8" a="1"/>
  <c r="C119" i="8"/>
  <c r="E139" i="8" a="1"/>
  <c r="E149" i="8" a="1"/>
  <c r="D189" i="8" a="1"/>
  <c r="D119" i="8" a="1"/>
  <c r="D89" i="8" a="1"/>
  <c r="E179" i="8" a="1"/>
  <c r="D129" i="8" a="1"/>
  <c r="C159" i="8"/>
  <c r="D159" i="8" a="1"/>
  <c r="E159" i="8" a="1"/>
  <c r="C129" i="8"/>
  <c r="D69" i="8" a="1"/>
  <c r="C79" i="8"/>
  <c r="E69" i="8" a="1"/>
  <c r="D79" i="8" a="1"/>
  <c r="C59" i="8"/>
  <c r="E79" i="8" a="1"/>
  <c r="D59" i="8" a="1"/>
  <c r="C49" i="8"/>
  <c r="E119" i="8" a="1"/>
  <c r="D49" i="8" a="1"/>
  <c r="C89" i="8"/>
  <c r="D99" i="8" a="1"/>
  <c r="D149" i="8" a="1"/>
  <c r="E89" i="8" a="1"/>
  <c r="O5" i="10"/>
  <c r="E99" i="8" a="1"/>
  <c r="O5" i="8"/>
  <c r="O17" i="7"/>
  <c r="O17" i="10"/>
  <c r="L12" i="10"/>
  <c r="L12" i="7"/>
  <c r="I7" i="8"/>
  <c r="I7" i="10"/>
  <c r="J7" i="7"/>
  <c r="J7" i="10"/>
  <c r="J7" i="8"/>
  <c r="O21" i="7"/>
  <c r="O21" i="10"/>
  <c r="O21" i="8"/>
  <c r="M16" i="10"/>
  <c r="M16" i="8"/>
  <c r="F8" i="8"/>
  <c r="AJ8" i="8" s="1"/>
  <c r="F8" i="10"/>
  <c r="AJ8" i="10" s="1"/>
  <c r="L5" i="7"/>
  <c r="I23" i="9" a="1"/>
  <c r="I40" i="7"/>
  <c r="I70" i="7"/>
  <c r="I90" i="7"/>
  <c r="I60" i="7"/>
  <c r="I120" i="7"/>
  <c r="I190" i="7"/>
  <c r="I200" i="7"/>
  <c r="I50" i="7"/>
  <c r="I100" i="7"/>
  <c r="I21" i="6" a="1"/>
  <c r="I230" i="7"/>
  <c r="I220" i="7"/>
  <c r="D236" i="10" a="1"/>
  <c r="I80" i="7"/>
  <c r="I150" i="7"/>
  <c r="I160" i="7"/>
  <c r="I140" i="7"/>
  <c r="I110" i="7"/>
  <c r="I210" i="7"/>
  <c r="D226" i="10" a="1"/>
  <c r="C166" i="10"/>
  <c r="C236" i="10"/>
  <c r="E216" i="10" a="1"/>
  <c r="E236" i="10" a="1"/>
  <c r="I170" i="7"/>
  <c r="D166" i="10" a="1"/>
  <c r="I130" i="7"/>
  <c r="E166" i="10" a="1"/>
  <c r="C186" i="10"/>
  <c r="D186" i="10" a="1"/>
  <c r="C206" i="10"/>
  <c r="C106" i="10"/>
  <c r="I180" i="7"/>
  <c r="C226" i="10"/>
  <c r="E186" i="10" a="1"/>
  <c r="D206" i="10" a="1"/>
  <c r="E226" i="10" a="1"/>
  <c r="C176" i="10"/>
  <c r="E206" i="10" a="1"/>
  <c r="E106" i="10" a="1"/>
  <c r="C116" i="10"/>
  <c r="D176" i="10" a="1"/>
  <c r="C196" i="10"/>
  <c r="E176" i="10" a="1"/>
  <c r="D196" i="10" a="1"/>
  <c r="C126" i="10"/>
  <c r="C136" i="10"/>
  <c r="E146" i="10" a="1"/>
  <c r="D126" i="10" a="1"/>
  <c r="D136" i="10" a="1"/>
  <c r="E126" i="10" a="1"/>
  <c r="E136" i="10" a="1"/>
  <c r="D46" i="10" a="1"/>
  <c r="D106" i="10" a="1"/>
  <c r="E196" i="10" a="1"/>
  <c r="C216" i="10"/>
  <c r="D116" i="10" a="1"/>
  <c r="D216" i="10" a="1"/>
  <c r="E116" i="10" a="1"/>
  <c r="E56" i="10" a="1"/>
  <c r="C146" i="10"/>
  <c r="E76" i="10" a="1"/>
  <c r="D146" i="10" a="1"/>
  <c r="C66" i="10"/>
  <c r="D66" i="10" a="1"/>
  <c r="E66" i="10" a="1"/>
  <c r="C156" i="10"/>
  <c r="D156" i="10" a="1"/>
  <c r="C46" i="10"/>
  <c r="E156" i="10" a="1"/>
  <c r="E46" i="10" a="1"/>
  <c r="C56" i="10"/>
  <c r="D56" i="10" a="1"/>
  <c r="C76" i="10"/>
  <c r="E86" i="10" a="1"/>
  <c r="C96" i="10"/>
  <c r="E96" i="10" a="1"/>
  <c r="C86" i="10"/>
  <c r="D76" i="10" a="1"/>
  <c r="D86" i="10" a="1"/>
  <c r="E236" i="8" a="1"/>
  <c r="D176" i="8" a="1"/>
  <c r="C186" i="8"/>
  <c r="C166" i="8"/>
  <c r="D166" i="8" a="1"/>
  <c r="C226" i="8"/>
  <c r="E166" i="8" a="1"/>
  <c r="D226" i="8" a="1"/>
  <c r="E226" i="8" a="1"/>
  <c r="D96" i="10" a="1"/>
  <c r="C236" i="8"/>
  <c r="D236" i="8" a="1"/>
  <c r="C176" i="8"/>
  <c r="D216" i="8" a="1"/>
  <c r="C126" i="8"/>
  <c r="E146" i="8" a="1"/>
  <c r="D186" i="8" a="1"/>
  <c r="E216" i="8" a="1"/>
  <c r="C116" i="8"/>
  <c r="D126" i="8" a="1"/>
  <c r="E186" i="8" a="1"/>
  <c r="D116" i="8" a="1"/>
  <c r="E126" i="8" a="1"/>
  <c r="E116" i="8" a="1"/>
  <c r="C196" i="8"/>
  <c r="C106" i="8"/>
  <c r="C136" i="8"/>
  <c r="C66" i="8"/>
  <c r="E76" i="8" a="1"/>
  <c r="D196" i="8" a="1"/>
  <c r="D106" i="8" a="1"/>
  <c r="D136" i="8" a="1"/>
  <c r="C46" i="8"/>
  <c r="E196" i="8" a="1"/>
  <c r="E106" i="8" a="1"/>
  <c r="C206" i="8"/>
  <c r="D156" i="8" a="1"/>
  <c r="E46" i="8" a="1"/>
  <c r="C56" i="8"/>
  <c r="E66" i="8" a="1"/>
  <c r="E176" i="8" a="1"/>
  <c r="D206" i="8" a="1"/>
  <c r="E156" i="8" a="1"/>
  <c r="D56" i="8" a="1"/>
  <c r="E206" i="8" a="1"/>
  <c r="C216" i="8"/>
  <c r="D146" i="8" a="1"/>
  <c r="E136" i="8" a="1"/>
  <c r="C76" i="8"/>
  <c r="C146" i="8"/>
  <c r="D76" i="8" a="1"/>
  <c r="C96" i="8"/>
  <c r="C156" i="8"/>
  <c r="C86" i="8"/>
  <c r="D96" i="8" a="1"/>
  <c r="D66" i="8" a="1"/>
  <c r="D86" i="8" a="1"/>
  <c r="E86" i="8" a="1"/>
  <c r="E56" i="8" a="1"/>
  <c r="D46" i="8" a="1"/>
  <c r="E96" i="8" a="1"/>
  <c r="L5" i="10"/>
  <c r="L5" i="8"/>
  <c r="N6" i="8"/>
  <c r="N6" i="10"/>
  <c r="G6" i="7"/>
  <c r="G6" i="10"/>
  <c r="G6" i="8"/>
  <c r="O8" i="7"/>
  <c r="N18" i="7"/>
  <c r="G18" i="8"/>
  <c r="K6" i="7"/>
  <c r="H60" i="7"/>
  <c r="H100" i="7"/>
  <c r="H180" i="7"/>
  <c r="E175" i="10" a="1"/>
  <c r="E55" i="10" a="1"/>
  <c r="D205" i="10" a="1"/>
  <c r="E155" i="10" a="1"/>
  <c r="E175" i="8" a="1"/>
  <c r="E205" i="8" a="1"/>
  <c r="C75" i="8"/>
  <c r="C155" i="8"/>
  <c r="D75" i="8" a="1"/>
  <c r="H120" i="7"/>
  <c r="H150" i="7"/>
  <c r="C185" i="10"/>
  <c r="D195" i="10" a="1"/>
  <c r="E105" i="10" a="1"/>
  <c r="D215" i="10" a="1"/>
  <c r="C165" i="8"/>
  <c r="D215" i="8" a="1"/>
  <c r="C185" i="8"/>
  <c r="E95" i="8" a="1"/>
  <c r="H200" i="7"/>
  <c r="C225" i="10"/>
  <c r="C205" i="10"/>
  <c r="C215" i="10"/>
  <c r="E115" i="10" a="1"/>
  <c r="C75" i="10"/>
  <c r="E195" i="8" a="1"/>
  <c r="E145" i="8" a="1"/>
  <c r="D185" i="8" a="1"/>
  <c r="D195" i="8" a="1"/>
  <c r="C135" i="8"/>
  <c r="H50" i="7"/>
  <c r="H220" i="7"/>
  <c r="C235" i="10"/>
  <c r="D225" i="10" a="1"/>
  <c r="C145" i="10"/>
  <c r="C65" i="10"/>
  <c r="D75" i="10" a="1"/>
  <c r="E165" i="8" a="1"/>
  <c r="E215" i="8" a="1"/>
  <c r="C105" i="8"/>
  <c r="C205" i="8"/>
  <c r="E75" i="8" a="1"/>
  <c r="H110" i="7"/>
  <c r="H140" i="7"/>
  <c r="E185" i="10" a="1"/>
  <c r="E205" i="10" a="1"/>
  <c r="C135" i="10"/>
  <c r="D65" i="10" a="1"/>
  <c r="C95" i="10"/>
  <c r="C225" i="8"/>
  <c r="C115" i="8"/>
  <c r="E185" i="8" a="1"/>
  <c r="C145" i="8"/>
  <c r="C85" i="8"/>
  <c r="H210" i="7"/>
  <c r="E225" i="10" a="1"/>
  <c r="D235" i="10" a="1"/>
  <c r="E215" i="10" a="1"/>
  <c r="D145" i="10" a="1"/>
  <c r="E65" i="10" a="1"/>
  <c r="D95" i="10" a="1"/>
  <c r="D225" i="8" a="1"/>
  <c r="D125" i="8" a="1"/>
  <c r="D105" i="8" a="1"/>
  <c r="E155" i="8" a="1"/>
  <c r="D85" i="8" a="1"/>
  <c r="H130" i="7"/>
  <c r="D165" i="10" a="1"/>
  <c r="C165" i="10"/>
  <c r="C155" i="10"/>
  <c r="C125" i="10"/>
  <c r="C85" i="10"/>
  <c r="D85" i="10" a="1"/>
  <c r="E225" i="8" a="1"/>
  <c r="D115" i="8" a="1"/>
  <c r="E55" i="8" a="1"/>
  <c r="E85" i="8" a="1"/>
  <c r="H230" i="7"/>
  <c r="H70" i="7"/>
  <c r="E235" i="10" a="1"/>
  <c r="C105" i="10"/>
  <c r="D125" i="10" a="1"/>
  <c r="C55" i="10"/>
  <c r="C175" i="8"/>
  <c r="D205" i="8" a="1"/>
  <c r="E115" i="8" a="1"/>
  <c r="E65" i="8" a="1"/>
  <c r="C65" i="8"/>
  <c r="D95" i="8" a="1"/>
  <c r="H23" i="9" a="1"/>
  <c r="D175" i="10" a="1"/>
  <c r="D105" i="10" a="1"/>
  <c r="E135" i="10" a="1"/>
  <c r="D55" i="10" a="1"/>
  <c r="E235" i="8" a="1"/>
  <c r="C215" i="8"/>
  <c r="D175" i="8" a="1"/>
  <c r="C195" i="8"/>
  <c r="H90" i="7"/>
  <c r="H80" i="7"/>
  <c r="H170" i="7"/>
  <c r="C195" i="10"/>
  <c r="C115" i="10"/>
  <c r="E145" i="10" a="1"/>
  <c r="D155" i="10" a="1"/>
  <c r="E95" i="10" a="1"/>
  <c r="D145" i="8" a="1"/>
  <c r="D135" i="8" a="1"/>
  <c r="E105" i="8" a="1"/>
  <c r="C95" i="8"/>
  <c r="D135" i="10" a="1"/>
  <c r="E125" i="10" a="1"/>
  <c r="C55" i="8"/>
  <c r="H190" i="7"/>
  <c r="H21" i="6" a="1"/>
  <c r="E85" i="10" a="1"/>
  <c r="D55" i="8" a="1"/>
  <c r="K6" i="10"/>
  <c r="H160" i="7"/>
  <c r="D65" i="8" a="1"/>
  <c r="E165" i="10" a="1"/>
  <c r="E75" i="10" a="1"/>
  <c r="K6" i="8"/>
  <c r="D235" i="8" a="1"/>
  <c r="D185" i="10" a="1"/>
  <c r="D165" i="8" a="1"/>
  <c r="C175" i="10"/>
  <c r="C235" i="8"/>
  <c r="D155" i="8" a="1"/>
  <c r="E195" i="10" a="1"/>
  <c r="C125" i="8"/>
  <c r="E125" i="8" a="1"/>
  <c r="D115" i="10" a="1"/>
  <c r="E135" i="8" a="1"/>
  <c r="K18" i="7"/>
  <c r="K18" i="10"/>
  <c r="M9" i="8"/>
  <c r="M9" i="10"/>
  <c r="K22" i="10"/>
  <c r="K22" i="8"/>
  <c r="K22" i="7"/>
  <c r="M19" i="8"/>
  <c r="M19" i="7"/>
  <c r="M19" i="10"/>
  <c r="R31" i="8"/>
  <c r="C210" i="7"/>
  <c r="C21" i="6" a="1"/>
  <c r="C230" i="7"/>
  <c r="C220" i="7"/>
  <c r="C23" i="9" a="1"/>
  <c r="C80" i="7"/>
  <c r="C60" i="7"/>
  <c r="C120" i="7"/>
  <c r="C50" i="7"/>
  <c r="C200" i="7"/>
  <c r="C100" i="7"/>
  <c r="C220" i="10"/>
  <c r="D220" i="10" a="1"/>
  <c r="E220" i="10" a="1"/>
  <c r="C70" i="7"/>
  <c r="C110" i="7"/>
  <c r="C170" i="7"/>
  <c r="C180" i="7"/>
  <c r="D230" i="10" a="1"/>
  <c r="E230" i="10" a="1"/>
  <c r="C40" i="7"/>
  <c r="C130" i="7"/>
  <c r="C90" i="7"/>
  <c r="C190" i="7"/>
  <c r="C150" i="7"/>
  <c r="C160" i="7"/>
  <c r="C160" i="10"/>
  <c r="D160" i="10" a="1"/>
  <c r="C230" i="10"/>
  <c r="E160" i="10" a="1"/>
  <c r="C190" i="10"/>
  <c r="E190" i="10" a="1"/>
  <c r="D210" i="10" a="1"/>
  <c r="E210" i="10" a="1"/>
  <c r="C110" i="10"/>
  <c r="C140" i="7"/>
  <c r="C180" i="10"/>
  <c r="D180" i="10" a="1"/>
  <c r="E110" i="10" a="1"/>
  <c r="C170" i="10"/>
  <c r="D170" i="10" a="1"/>
  <c r="E180" i="10" a="1"/>
  <c r="C200" i="10"/>
  <c r="E170" i="10" a="1"/>
  <c r="D190" i="10" a="1"/>
  <c r="E200" i="10" a="1"/>
  <c r="C140" i="10"/>
  <c r="D40" i="10" a="1"/>
  <c r="D140" i="10" a="1"/>
  <c r="C130" i="10"/>
  <c r="C210" i="10"/>
  <c r="D130" i="10" a="1"/>
  <c r="E140" i="10" a="1"/>
  <c r="C100" i="10"/>
  <c r="D100" i="10" a="1"/>
  <c r="E130" i="10" a="1"/>
  <c r="C150" i="10"/>
  <c r="E100" i="10" a="1"/>
  <c r="D110" i="10" a="1"/>
  <c r="E150" i="10" a="1"/>
  <c r="C120" i="10"/>
  <c r="D200" i="10" a="1"/>
  <c r="D120" i="10" a="1"/>
  <c r="E120" i="10" a="1"/>
  <c r="E40" i="10" a="1"/>
  <c r="E60" i="10" a="1"/>
  <c r="D150" i="10" a="1"/>
  <c r="C70" i="10"/>
  <c r="D70" i="10" a="1"/>
  <c r="E70" i="10" a="1"/>
  <c r="C50" i="10"/>
  <c r="D50" i="10" a="1"/>
  <c r="C60" i="10"/>
  <c r="C40" i="10"/>
  <c r="E50" i="10" a="1"/>
  <c r="D60" i="10" a="1"/>
  <c r="D80" i="10" a="1"/>
  <c r="E80" i="10" a="1"/>
  <c r="C90" i="10"/>
  <c r="D90" i="10" a="1"/>
  <c r="E90" i="10" a="1"/>
  <c r="C80" i="10"/>
  <c r="C160" i="8"/>
  <c r="D160" i="8" a="1"/>
  <c r="E160" i="8" a="1"/>
  <c r="C220" i="8"/>
  <c r="C180" i="8"/>
  <c r="D220" i="8" a="1"/>
  <c r="C170" i="8"/>
  <c r="D180" i="8" a="1"/>
  <c r="E220" i="8" a="1"/>
  <c r="C230" i="8"/>
  <c r="D170" i="8" a="1"/>
  <c r="E180" i="8" a="1"/>
  <c r="D190" i="8" a="1"/>
  <c r="D230" i="8" a="1"/>
  <c r="E170" i="8" a="1"/>
  <c r="E230" i="8" a="1"/>
  <c r="E200" i="8" a="1"/>
  <c r="D210" i="8" a="1"/>
  <c r="E110" i="8" a="1"/>
  <c r="C40" i="8"/>
  <c r="E210" i="8" a="1"/>
  <c r="D40" i="8" a="1"/>
  <c r="C50" i="8"/>
  <c r="D70" i="8" a="1"/>
  <c r="C190" i="8"/>
  <c r="E190" i="8" a="1"/>
  <c r="C100" i="8"/>
  <c r="D100" i="8" a="1"/>
  <c r="C140" i="8"/>
  <c r="C150" i="8"/>
  <c r="E100" i="8" a="1"/>
  <c r="D140" i="8" a="1"/>
  <c r="D150" i="8" a="1"/>
  <c r="C120" i="8"/>
  <c r="D120" i="8" a="1"/>
  <c r="E120" i="8" a="1"/>
  <c r="C130" i="8"/>
  <c r="C80" i="8"/>
  <c r="E90" i="8" a="1"/>
  <c r="C200" i="8"/>
  <c r="D200" i="8" a="1"/>
  <c r="C210" i="8"/>
  <c r="D110" i="8" a="1"/>
  <c r="E130" i="8" a="1"/>
  <c r="C70" i="8"/>
  <c r="C60" i="8"/>
  <c r="E70" i="8" a="1"/>
  <c r="D80" i="8" a="1"/>
  <c r="D60" i="8" a="1"/>
  <c r="E80" i="8" a="1"/>
  <c r="E150" i="8" a="1"/>
  <c r="D50" i="8" a="1"/>
  <c r="E60" i="8" a="1"/>
  <c r="E50" i="8" a="1"/>
  <c r="E140" i="8" a="1"/>
  <c r="C90" i="8"/>
  <c r="D90" i="8" a="1"/>
  <c r="E40" i="8" a="1"/>
  <c r="D130" i="8" a="1"/>
  <c r="C110" i="8"/>
  <c r="F5" i="8"/>
  <c r="O9" i="7"/>
  <c r="O9" i="8"/>
  <c r="O9" i="10"/>
  <c r="N7" i="8"/>
  <c r="N7" i="7"/>
  <c r="N7" i="10"/>
  <c r="N13" i="8"/>
  <c r="N13" i="10"/>
  <c r="F6" i="7"/>
  <c r="F6" i="10"/>
  <c r="K17" i="7"/>
  <c r="J18" i="8"/>
  <c r="O24" i="10"/>
  <c r="F23" i="10"/>
  <c r="AJ23" i="10" s="1"/>
  <c r="AK23" i="10" s="1"/>
  <c r="H13" i="7"/>
  <c r="H13" i="10"/>
  <c r="P225" i="10"/>
  <c r="P165" i="10"/>
  <c r="P235" i="10"/>
  <c r="P185" i="10"/>
  <c r="P205" i="10"/>
  <c r="P175" i="10"/>
  <c r="P195" i="10"/>
  <c r="P45" i="10"/>
  <c r="P105" i="10"/>
  <c r="P55" i="10"/>
  <c r="P115" i="10"/>
  <c r="P215" i="10"/>
  <c r="P145" i="10"/>
  <c r="P135" i="10"/>
  <c r="P125" i="10"/>
  <c r="P65" i="10"/>
  <c r="P155" i="10"/>
  <c r="P75" i="10"/>
  <c r="P85" i="10"/>
  <c r="P165" i="8"/>
  <c r="P195" i="8"/>
  <c r="P225" i="8"/>
  <c r="P95" i="10"/>
  <c r="P235" i="8"/>
  <c r="P175" i="8"/>
  <c r="P185" i="8"/>
  <c r="P75" i="8"/>
  <c r="P105" i="8"/>
  <c r="P135" i="8"/>
  <c r="P155" i="8"/>
  <c r="P55" i="8"/>
  <c r="P205" i="8"/>
  <c r="P145" i="8"/>
  <c r="P215" i="8"/>
  <c r="P115" i="8"/>
  <c r="P125" i="8"/>
  <c r="P65" i="8"/>
  <c r="P45" i="8"/>
  <c r="P35" i="10"/>
  <c r="H20" i="6"/>
  <c r="P35" i="8"/>
  <c r="H19" i="5"/>
  <c r="P85" i="8"/>
  <c r="P95" i="8"/>
  <c r="H22" i="9"/>
  <c r="P239" i="10"/>
  <c r="P229" i="10"/>
  <c r="P189" i="10"/>
  <c r="P169" i="10"/>
  <c r="P179" i="10"/>
  <c r="P199" i="10"/>
  <c r="P209" i="10"/>
  <c r="P219" i="10"/>
  <c r="P109" i="10"/>
  <c r="P149" i="10"/>
  <c r="P119" i="10"/>
  <c r="P139" i="10"/>
  <c r="P129" i="10"/>
  <c r="P49" i="10"/>
  <c r="P159" i="10"/>
  <c r="P59" i="10"/>
  <c r="P89" i="10"/>
  <c r="P99" i="10"/>
  <c r="P69" i="10"/>
  <c r="P79" i="10"/>
  <c r="P239" i="8"/>
  <c r="P179" i="8"/>
  <c r="P169" i="8"/>
  <c r="P189" i="8"/>
  <c r="P229" i="8"/>
  <c r="P219" i="8"/>
  <c r="P149" i="8"/>
  <c r="P119" i="8"/>
  <c r="P89" i="8"/>
  <c r="P199" i="8"/>
  <c r="P109" i="8"/>
  <c r="P209" i="8"/>
  <c r="P49" i="8"/>
  <c r="P59" i="8"/>
  <c r="P139" i="8"/>
  <c r="P159" i="8"/>
  <c r="P129" i="8"/>
  <c r="P69" i="8"/>
  <c r="P79" i="8"/>
  <c r="L22" i="9"/>
  <c r="P39" i="8"/>
  <c r="P99" i="8"/>
  <c r="L20" i="6"/>
  <c r="P39" i="10"/>
  <c r="L19" i="5"/>
  <c r="G7" i="8"/>
  <c r="G7" i="10"/>
  <c r="G19" i="8"/>
  <c r="G19" i="7"/>
  <c r="AK19" i="7" s="1"/>
  <c r="G19" i="10"/>
  <c r="I10" i="7"/>
  <c r="I10" i="10"/>
  <c r="I10" i="8"/>
  <c r="J13" i="7"/>
  <c r="J13" i="10"/>
  <c r="M22" i="8"/>
  <c r="M22" i="10"/>
  <c r="O6" i="7"/>
  <c r="O6" i="8"/>
  <c r="N12" i="10"/>
  <c r="N12" i="8"/>
  <c r="J8" i="7"/>
  <c r="J8" i="10"/>
  <c r="I6" i="7"/>
  <c r="I6" i="8"/>
  <c r="O17" i="8"/>
  <c r="C9" i="6" a="1"/>
  <c r="C10" i="6" a="1"/>
  <c r="P227" i="10"/>
  <c r="P167" i="10"/>
  <c r="P237" i="10"/>
  <c r="P197" i="10"/>
  <c r="P187" i="10"/>
  <c r="P107" i="10"/>
  <c r="P207" i="10"/>
  <c r="P217" i="10"/>
  <c r="P137" i="10"/>
  <c r="P47" i="10"/>
  <c r="P67" i="10"/>
  <c r="P127" i="10"/>
  <c r="P147" i="10"/>
  <c r="P177" i="10"/>
  <c r="P117" i="10"/>
  <c r="P57" i="10"/>
  <c r="P77" i="10"/>
  <c r="P87" i="10"/>
  <c r="P157" i="10"/>
  <c r="P97" i="10"/>
  <c r="P237" i="8"/>
  <c r="P177" i="8"/>
  <c r="P167" i="8"/>
  <c r="P187" i="8"/>
  <c r="P227" i="8"/>
  <c r="P207" i="8"/>
  <c r="P47" i="8"/>
  <c r="P217" i="8"/>
  <c r="P147" i="8"/>
  <c r="P97" i="8"/>
  <c r="P117" i="8"/>
  <c r="P127" i="8"/>
  <c r="P77" i="8"/>
  <c r="P197" i="8"/>
  <c r="P107" i="8"/>
  <c r="P137" i="8"/>
  <c r="P157" i="8"/>
  <c r="P67" i="8"/>
  <c r="P57" i="8"/>
  <c r="P87" i="8"/>
  <c r="J22" i="9"/>
  <c r="P37" i="10"/>
  <c r="J20" i="6"/>
  <c r="J19" i="5"/>
  <c r="P37" i="8"/>
  <c r="J10" i="10"/>
  <c r="J10" i="8"/>
  <c r="J10" i="7"/>
  <c r="C10" i="5" a="1"/>
  <c r="C9" i="5" a="1"/>
  <c r="O222" i="10"/>
  <c r="O162" i="10"/>
  <c r="O232" i="10"/>
  <c r="O182" i="10"/>
  <c r="O172" i="10"/>
  <c r="O202" i="10"/>
  <c r="O192" i="10"/>
  <c r="O102" i="10"/>
  <c r="O122" i="10"/>
  <c r="O142" i="10"/>
  <c r="O132" i="10"/>
  <c r="O112" i="10"/>
  <c r="O212" i="10"/>
  <c r="O52" i="10"/>
  <c r="O62" i="10"/>
  <c r="O152" i="10"/>
  <c r="O42" i="10"/>
  <c r="O72" i="10"/>
  <c r="O82" i="10"/>
  <c r="O172" i="8"/>
  <c r="O182" i="8"/>
  <c r="O162" i="8"/>
  <c r="O222" i="8"/>
  <c r="O92" i="10"/>
  <c r="O232" i="8"/>
  <c r="O122" i="8"/>
  <c r="O212" i="8"/>
  <c r="O192" i="8"/>
  <c r="O112" i="8"/>
  <c r="O132" i="8"/>
  <c r="O72" i="8"/>
  <c r="O42" i="8"/>
  <c r="O102" i="8"/>
  <c r="O202" i="8"/>
  <c r="O142" i="8"/>
  <c r="O82" i="8"/>
  <c r="O62" i="8"/>
  <c r="O92" i="8"/>
  <c r="O152" i="8"/>
  <c r="O52" i="8"/>
  <c r="O32" i="8"/>
  <c r="O32" i="10"/>
  <c r="E19" i="6"/>
  <c r="E18" i="5"/>
  <c r="E21" i="9"/>
  <c r="E37" i="7"/>
  <c r="O20" i="8"/>
  <c r="O20" i="10"/>
  <c r="L15" i="10"/>
  <c r="L15" i="8"/>
  <c r="L15" i="7"/>
  <c r="M12" i="10"/>
  <c r="M12" i="8"/>
  <c r="J16" i="10"/>
  <c r="J16" i="8"/>
  <c r="L7" i="7"/>
  <c r="L7" i="10"/>
  <c r="O7" i="7"/>
  <c r="O7" i="10"/>
  <c r="O7" i="8"/>
  <c r="N9" i="10"/>
  <c r="N9" i="8"/>
  <c r="F14" i="8"/>
  <c r="AJ14" i="8" s="1"/>
  <c r="F14" i="10"/>
  <c r="AJ14" i="10" s="1"/>
  <c r="AA14" i="10" s="1"/>
  <c r="G9" i="8"/>
  <c r="G9" i="10"/>
  <c r="J41" i="7"/>
  <c r="M12" i="7"/>
  <c r="I7" i="7"/>
  <c r="L8" i="7"/>
  <c r="F23" i="8"/>
  <c r="AJ23" i="8" s="1"/>
  <c r="F15" i="9"/>
  <c r="F36" i="7"/>
  <c r="N33" i="8"/>
  <c r="N33" i="10"/>
  <c r="F13" i="6"/>
  <c r="F12" i="5"/>
  <c r="K9" i="8"/>
  <c r="K9" i="10"/>
  <c r="K21" i="8"/>
  <c r="K21" i="10"/>
  <c r="H16" i="8"/>
  <c r="H16" i="10"/>
  <c r="I13" i="7"/>
  <c r="I13" i="8"/>
  <c r="I13" i="10"/>
  <c r="J19" i="7"/>
  <c r="J19" i="10"/>
  <c r="J19" i="8"/>
  <c r="L10" i="10"/>
  <c r="L10" i="8"/>
  <c r="N16" i="10"/>
  <c r="N16" i="8"/>
  <c r="N16" i="7"/>
  <c r="N19" i="7"/>
  <c r="N19" i="8"/>
  <c r="N19" i="10"/>
  <c r="L23" i="7"/>
  <c r="L23" i="8"/>
  <c r="L23" i="10"/>
  <c r="F9" i="10"/>
  <c r="AJ9" i="10" s="1"/>
  <c r="F9" i="8"/>
  <c r="AJ9" i="8" s="1"/>
  <c r="F9" i="7"/>
  <c r="AJ9" i="7" s="1"/>
  <c r="AK9" i="7" s="1"/>
  <c r="M21" i="7"/>
  <c r="F8" i="7"/>
  <c r="AJ8" i="7" s="1"/>
  <c r="AA8" i="7" s="1"/>
  <c r="O10" i="7"/>
  <c r="K15" i="7"/>
  <c r="G7" i="7"/>
  <c r="F24" i="8"/>
  <c r="AJ24" i="8" s="1"/>
  <c r="AA24" i="8" s="1"/>
  <c r="O8" i="8"/>
  <c r="O6" i="10"/>
  <c r="P163" i="10"/>
  <c r="P213" i="10"/>
  <c r="P223" i="10"/>
  <c r="P233" i="10"/>
  <c r="P183" i="10"/>
  <c r="P173" i="10"/>
  <c r="P143" i="10"/>
  <c r="P193" i="10"/>
  <c r="P103" i="10"/>
  <c r="P113" i="10"/>
  <c r="P133" i="10"/>
  <c r="P203" i="10"/>
  <c r="P123" i="10"/>
  <c r="P93" i="10"/>
  <c r="P73" i="10"/>
  <c r="P53" i="10"/>
  <c r="P153" i="10"/>
  <c r="P43" i="10"/>
  <c r="P63" i="10"/>
  <c r="P83" i="10"/>
  <c r="P183" i="8"/>
  <c r="P193" i="8"/>
  <c r="P163" i="8"/>
  <c r="P223" i="8"/>
  <c r="P233" i="8"/>
  <c r="P173" i="8"/>
  <c r="P213" i="8"/>
  <c r="P113" i="8"/>
  <c r="P133" i="8"/>
  <c r="P43" i="8"/>
  <c r="P103" i="8"/>
  <c r="P203" i="8"/>
  <c r="P153" i="8"/>
  <c r="P123" i="8"/>
  <c r="P63" i="8"/>
  <c r="P143" i="8"/>
  <c r="P93" i="8"/>
  <c r="P53" i="8"/>
  <c r="P73" i="8"/>
  <c r="P83" i="8"/>
  <c r="F20" i="6"/>
  <c r="F19" i="5"/>
  <c r="P33" i="8"/>
  <c r="P33" i="10"/>
  <c r="F22" i="9"/>
  <c r="P221" i="10"/>
  <c r="P231" i="10"/>
  <c r="P161" i="10"/>
  <c r="P171" i="10"/>
  <c r="P191" i="10"/>
  <c r="P201" i="10"/>
  <c r="P211" i="10"/>
  <c r="P101" i="10"/>
  <c r="P121" i="10"/>
  <c r="P181" i="10"/>
  <c r="P141" i="10"/>
  <c r="P131" i="10"/>
  <c r="P111" i="10"/>
  <c r="P51" i="10"/>
  <c r="P61" i="10"/>
  <c r="P81" i="10"/>
  <c r="P91" i="10"/>
  <c r="P71" i="10"/>
  <c r="P151" i="10"/>
  <c r="P41" i="10"/>
  <c r="P171" i="8"/>
  <c r="P181" i="8"/>
  <c r="P231" i="8"/>
  <c r="P201" i="8"/>
  <c r="P161" i="8"/>
  <c r="P221" i="8"/>
  <c r="P141" i="8"/>
  <c r="P151" i="8"/>
  <c r="P121" i="8"/>
  <c r="P211" i="8"/>
  <c r="P111" i="8"/>
  <c r="P131" i="8"/>
  <c r="P191" i="8"/>
  <c r="P51" i="8"/>
  <c r="P61" i="8"/>
  <c r="P101" i="8"/>
  <c r="P71" i="8"/>
  <c r="P81" i="8"/>
  <c r="P41" i="8"/>
  <c r="P91" i="8"/>
  <c r="P31" i="10"/>
  <c r="D20" i="6"/>
  <c r="D19" i="5"/>
  <c r="D22" i="9"/>
  <c r="P31" i="8"/>
  <c r="P10" i="4"/>
  <c r="J6" i="7"/>
  <c r="J6" i="10"/>
  <c r="G10" i="7"/>
  <c r="G10" i="10"/>
  <c r="AK10" i="10" s="1"/>
  <c r="AB10" i="10" s="1"/>
  <c r="G22" i="10"/>
  <c r="G22" i="7"/>
  <c r="M15" i="8"/>
  <c r="M15" i="10"/>
  <c r="J22" i="8"/>
  <c r="J22" i="10"/>
  <c r="L13" i="7"/>
  <c r="L13" i="8"/>
  <c r="L13" i="10"/>
  <c r="O16" i="8"/>
  <c r="O16" i="10"/>
  <c r="R31" i="10"/>
  <c r="J32" i="10" s="1"/>
  <c r="Q32" i="10" s="1"/>
  <c r="R32" i="10" s="1"/>
  <c r="J17" i="10"/>
  <c r="J17" i="8"/>
  <c r="H23" i="7"/>
  <c r="H23" i="8"/>
  <c r="H23" i="10"/>
  <c r="K220" i="7"/>
  <c r="K80" i="7"/>
  <c r="K23" i="9" a="1"/>
  <c r="K40" i="7"/>
  <c r="K70" i="7"/>
  <c r="K90" i="7"/>
  <c r="K140" i="7"/>
  <c r="K190" i="7"/>
  <c r="K200" i="7"/>
  <c r="K210" i="7"/>
  <c r="K130" i="7"/>
  <c r="K230" i="7"/>
  <c r="C228" i="10"/>
  <c r="K170" i="7"/>
  <c r="K180" i="7"/>
  <c r="D228" i="10" a="1"/>
  <c r="K50" i="7"/>
  <c r="K100" i="7"/>
  <c r="K120" i="7"/>
  <c r="C238" i="10"/>
  <c r="K150" i="7"/>
  <c r="K160" i="7"/>
  <c r="D238" i="10" a="1"/>
  <c r="K21" i="6" a="1"/>
  <c r="K60" i="7"/>
  <c r="K110" i="7"/>
  <c r="C178" i="10"/>
  <c r="D178" i="10" a="1"/>
  <c r="E208" i="10" a="1"/>
  <c r="E238" i="10" a="1"/>
  <c r="C168" i="10"/>
  <c r="E178" i="10" a="1"/>
  <c r="D168" i="10" a="1"/>
  <c r="E168" i="10" a="1"/>
  <c r="C198" i="10"/>
  <c r="C218" i="10"/>
  <c r="D198" i="10" a="1"/>
  <c r="E198" i="10" a="1"/>
  <c r="E218" i="10" a="1"/>
  <c r="C188" i="10"/>
  <c r="D188" i="10" a="1"/>
  <c r="E228" i="10" a="1"/>
  <c r="C118" i="10"/>
  <c r="E128" i="10" a="1"/>
  <c r="E148" i="10" a="1"/>
  <c r="D118" i="10" a="1"/>
  <c r="E188" i="10" a="1"/>
  <c r="E118" i="10" a="1"/>
  <c r="C108" i="10"/>
  <c r="D108" i="10" a="1"/>
  <c r="E108" i="10" a="1"/>
  <c r="C158" i="10"/>
  <c r="D58" i="10" a="1"/>
  <c r="C208" i="10"/>
  <c r="D208" i="10" a="1"/>
  <c r="D218" i="10" a="1"/>
  <c r="C138" i="10"/>
  <c r="C128" i="10"/>
  <c r="D138" i="10" a="1"/>
  <c r="D128" i="10" a="1"/>
  <c r="E138" i="10" a="1"/>
  <c r="E158" i="10" a="1"/>
  <c r="C78" i="10"/>
  <c r="C88" i="10"/>
  <c r="D98" i="10" a="1"/>
  <c r="D78" i="10" a="1"/>
  <c r="C58" i="10"/>
  <c r="E78" i="10" a="1"/>
  <c r="E58" i="10" a="1"/>
  <c r="C148" i="10"/>
  <c r="D148" i="10" a="1"/>
  <c r="C48" i="10"/>
  <c r="C68" i="10"/>
  <c r="D48" i="10" a="1"/>
  <c r="E48" i="10" a="1"/>
  <c r="E68" i="10" a="1"/>
  <c r="D158" i="10" a="1"/>
  <c r="D88" i="10" a="1"/>
  <c r="E88" i="10" a="1"/>
  <c r="E98" i="10" a="1"/>
  <c r="D68" i="10" a="1"/>
  <c r="C228" i="8"/>
  <c r="E168" i="8" a="1"/>
  <c r="D188" i="8" a="1"/>
  <c r="D228" i="8" a="1"/>
  <c r="C98" i="10"/>
  <c r="E228" i="8" a="1"/>
  <c r="C238" i="8"/>
  <c r="D238" i="8" a="1"/>
  <c r="E238" i="8" a="1"/>
  <c r="C178" i="8"/>
  <c r="C168" i="8"/>
  <c r="E178" i="8" a="1"/>
  <c r="D168" i="8" a="1"/>
  <c r="E128" i="8" a="1"/>
  <c r="C198" i="8"/>
  <c r="C108" i="8"/>
  <c r="D198" i="8" a="1"/>
  <c r="D108" i="8" a="1"/>
  <c r="C188" i="8"/>
  <c r="C208" i="8"/>
  <c r="E108" i="8" a="1"/>
  <c r="E188" i="8" a="1"/>
  <c r="E198" i="8" a="1"/>
  <c r="D208" i="8" a="1"/>
  <c r="D178" i="8" a="1"/>
  <c r="E208" i="8" a="1"/>
  <c r="D138" i="8" a="1"/>
  <c r="D158" i="8" a="1"/>
  <c r="D58" i="8" a="1"/>
  <c r="E158" i="8" a="1"/>
  <c r="C218" i="8"/>
  <c r="D218" i="8" a="1"/>
  <c r="D148" i="8" a="1"/>
  <c r="E218" i="8" a="1"/>
  <c r="C118" i="8"/>
  <c r="E148" i="8" a="1"/>
  <c r="E118" i="8" a="1"/>
  <c r="D128" i="8" a="1"/>
  <c r="D48" i="8" a="1"/>
  <c r="E58" i="8" a="1"/>
  <c r="C88" i="8"/>
  <c r="D98" i="8" a="1"/>
  <c r="E48" i="8" a="1"/>
  <c r="D88" i="8" a="1"/>
  <c r="E98" i="8" a="1"/>
  <c r="C148" i="8"/>
  <c r="D118" i="8" a="1"/>
  <c r="C138" i="8"/>
  <c r="E138" i="8" a="1"/>
  <c r="C158" i="8"/>
  <c r="C78" i="8"/>
  <c r="D78" i="8" a="1"/>
  <c r="C68" i="8"/>
  <c r="D68" i="8" a="1"/>
  <c r="E78" i="8" a="1"/>
  <c r="C128" i="8"/>
  <c r="C48" i="8"/>
  <c r="C58" i="8"/>
  <c r="E68" i="8" a="1"/>
  <c r="C98" i="8"/>
  <c r="E88" i="8" a="1"/>
  <c r="N5" i="10"/>
  <c r="N5" i="8"/>
  <c r="H9" i="10"/>
  <c r="H9" i="8"/>
  <c r="H9" i="7"/>
  <c r="G51" i="7"/>
  <c r="G41" i="7"/>
  <c r="K16" i="7"/>
  <c r="L17" i="7"/>
  <c r="J24" i="7"/>
  <c r="J8" i="8"/>
  <c r="F5" i="10"/>
  <c r="O221" i="10"/>
  <c r="O231" i="10"/>
  <c r="O171" i="10"/>
  <c r="O181" i="10"/>
  <c r="O161" i="10"/>
  <c r="O151" i="10"/>
  <c r="O41" i="10"/>
  <c r="O191" i="10"/>
  <c r="O121" i="10"/>
  <c r="O141" i="10"/>
  <c r="O201" i="10"/>
  <c r="O51" i="10"/>
  <c r="O131" i="10"/>
  <c r="O111" i="10"/>
  <c r="O211" i="10"/>
  <c r="O101" i="10"/>
  <c r="O71" i="10"/>
  <c r="O61" i="10"/>
  <c r="O81" i="10"/>
  <c r="O231" i="8"/>
  <c r="O91" i="10"/>
  <c r="O161" i="8"/>
  <c r="O221" i="8"/>
  <c r="O121" i="8"/>
  <c r="O171" i="8"/>
  <c r="O201" i="8"/>
  <c r="O211" i="8"/>
  <c r="O111" i="8"/>
  <c r="O131" i="8"/>
  <c r="O41" i="8"/>
  <c r="O191" i="8"/>
  <c r="O51" i="8"/>
  <c r="O61" i="8"/>
  <c r="O101" i="8"/>
  <c r="O181" i="8"/>
  <c r="O141" i="8"/>
  <c r="O151" i="8"/>
  <c r="O71" i="8"/>
  <c r="O91" i="8"/>
  <c r="D19" i="6"/>
  <c r="O81" i="8"/>
  <c r="D18" i="5"/>
  <c r="O31" i="8"/>
  <c r="D21" i="9"/>
  <c r="D37" i="7"/>
  <c r="O31" i="10"/>
  <c r="P13" i="4"/>
  <c r="J9" i="8"/>
  <c r="L18" i="7"/>
  <c r="L18" i="8"/>
  <c r="L18" i="10"/>
  <c r="I16" i="10"/>
  <c r="I16" i="8"/>
  <c r="K7" i="8"/>
  <c r="K7" i="7"/>
  <c r="K7" i="10"/>
  <c r="L16" i="8"/>
  <c r="L16" i="10"/>
  <c r="O19" i="7"/>
  <c r="O19" i="10"/>
  <c r="I5" i="7"/>
  <c r="F190" i="7"/>
  <c r="F200" i="7"/>
  <c r="F50" i="7"/>
  <c r="F110" i="7"/>
  <c r="F100" i="7"/>
  <c r="F210" i="7"/>
  <c r="F130" i="7"/>
  <c r="F21" i="6" a="1"/>
  <c r="F230" i="7"/>
  <c r="F220" i="7"/>
  <c r="F23" i="9" a="1"/>
  <c r="F80" i="7"/>
  <c r="F150" i="7"/>
  <c r="F160" i="7"/>
  <c r="F140" i="7"/>
  <c r="F120" i="7"/>
  <c r="F60" i="7"/>
  <c r="F70" i="7"/>
  <c r="F170" i="7"/>
  <c r="F180" i="7"/>
  <c r="C163" i="10"/>
  <c r="F40" i="7"/>
  <c r="C223" i="10"/>
  <c r="F90" i="7"/>
  <c r="E193" i="10" a="1"/>
  <c r="D163" i="10" a="1"/>
  <c r="C213" i="10"/>
  <c r="E163" i="10" a="1"/>
  <c r="E213" i="10" a="1"/>
  <c r="C233" i="10"/>
  <c r="C183" i="10"/>
  <c r="D223" i="10" a="1"/>
  <c r="D233" i="10" a="1"/>
  <c r="D183" i="10" a="1"/>
  <c r="E223" i="10" a="1"/>
  <c r="E233" i="10" a="1"/>
  <c r="C173" i="10"/>
  <c r="C103" i="10"/>
  <c r="D113" i="10" a="1"/>
  <c r="D173" i="10" a="1"/>
  <c r="E183" i="10" a="1"/>
  <c r="E173" i="10" a="1"/>
  <c r="C193" i="10"/>
  <c r="D203" i="10" a="1"/>
  <c r="E123" i="10" a="1"/>
  <c r="C133" i="10"/>
  <c r="C143" i="10"/>
  <c r="C113" i="10"/>
  <c r="D133" i="10" a="1"/>
  <c r="D143" i="10" a="1"/>
  <c r="C203" i="10"/>
  <c r="D213" i="10" a="1"/>
  <c r="D103" i="10" a="1"/>
  <c r="E113" i="10" a="1"/>
  <c r="E133" i="10" a="1"/>
  <c r="E143" i="10" a="1"/>
  <c r="E203" i="10" a="1"/>
  <c r="E103" i="10" a="1"/>
  <c r="D193" i="10" a="1"/>
  <c r="C123" i="10"/>
  <c r="D123" i="10" a="1"/>
  <c r="E153" i="10" a="1"/>
  <c r="E43" i="10" a="1"/>
  <c r="C73" i="10"/>
  <c r="D73" i="10" a="1"/>
  <c r="E73" i="10" a="1"/>
  <c r="C53" i="10"/>
  <c r="D53" i="10" a="1"/>
  <c r="E53" i="10" a="1"/>
  <c r="C63" i="10"/>
  <c r="D63" i="10" a="1"/>
  <c r="C153" i="10"/>
  <c r="C43" i="10"/>
  <c r="E63" i="10" a="1"/>
  <c r="D153" i="10" a="1"/>
  <c r="D43" i="10" a="1"/>
  <c r="E83" i="10" a="1"/>
  <c r="C93" i="10"/>
  <c r="D93" i="10" a="1"/>
  <c r="C83" i="10"/>
  <c r="D83" i="10" a="1"/>
  <c r="E93" i="10" a="1"/>
  <c r="E223" i="8" a="1"/>
  <c r="C233" i="8"/>
  <c r="D233" i="8" a="1"/>
  <c r="C173" i="8"/>
  <c r="E233" i="8" a="1"/>
  <c r="D173" i="8" a="1"/>
  <c r="D183" i="8" a="1"/>
  <c r="E173" i="8" a="1"/>
  <c r="E183" i="8" a="1"/>
  <c r="D193" i="8" a="1"/>
  <c r="C163" i="8"/>
  <c r="D163" i="8" a="1"/>
  <c r="E203" i="8" a="1"/>
  <c r="E163" i="8" a="1"/>
  <c r="C223" i="8"/>
  <c r="D223" i="8" a="1"/>
  <c r="E103" i="8" a="1"/>
  <c r="E53" i="8" a="1"/>
  <c r="C153" i="8"/>
  <c r="C203" i="8"/>
  <c r="D203" i="8" a="1"/>
  <c r="C123" i="8"/>
  <c r="D143" i="8" a="1"/>
  <c r="C213" i="8"/>
  <c r="D123" i="8" a="1"/>
  <c r="C193" i="8"/>
  <c r="D213" i="8" a="1"/>
  <c r="C113" i="8"/>
  <c r="E123" i="8" a="1"/>
  <c r="C133" i="8"/>
  <c r="D83" i="8" a="1"/>
  <c r="C183" i="8"/>
  <c r="E193" i="8" a="1"/>
  <c r="E213" i="8" a="1"/>
  <c r="D113" i="8" a="1"/>
  <c r="D133" i="8" a="1"/>
  <c r="E113" i="8" a="1"/>
  <c r="C73" i="8"/>
  <c r="C43" i="8"/>
  <c r="D73" i="8" a="1"/>
  <c r="C103" i="8"/>
  <c r="D103" i="8" a="1"/>
  <c r="E43" i="8" a="1"/>
  <c r="D53" i="8" a="1"/>
  <c r="D63" i="8" a="1"/>
  <c r="E153" i="8" a="1"/>
  <c r="C53" i="8"/>
  <c r="D43" i="8" a="1"/>
  <c r="E73" i="8" a="1"/>
  <c r="E83" i="8" a="1"/>
  <c r="C63" i="8"/>
  <c r="C93" i="8"/>
  <c r="E133" i="8" a="1"/>
  <c r="C143" i="8"/>
  <c r="E63" i="8" a="1"/>
  <c r="D93" i="8" a="1"/>
  <c r="E143" i="8" a="1"/>
  <c r="D153" i="8" a="1"/>
  <c r="E93" i="8" a="1"/>
  <c r="I5" i="8"/>
  <c r="C83" i="8"/>
  <c r="I5" i="10"/>
  <c r="K8" i="7"/>
  <c r="K8" i="10"/>
  <c r="K8" i="8"/>
  <c r="I9" i="8"/>
  <c r="I9" i="10"/>
  <c r="J16" i="7"/>
  <c r="G16" i="7"/>
  <c r="I24" i="7"/>
  <c r="N6" i="7"/>
  <c r="L17" i="8"/>
  <c r="G18" i="10"/>
  <c r="P228" i="10"/>
  <c r="P238" i="10"/>
  <c r="P178" i="10"/>
  <c r="P168" i="10"/>
  <c r="P198" i="10"/>
  <c r="P188" i="10"/>
  <c r="P118" i="10"/>
  <c r="P148" i="10"/>
  <c r="P208" i="10"/>
  <c r="P108" i="10"/>
  <c r="P218" i="10"/>
  <c r="P158" i="10"/>
  <c r="P58" i="10"/>
  <c r="P138" i="10"/>
  <c r="P128" i="10"/>
  <c r="P78" i="10"/>
  <c r="P98" i="10"/>
  <c r="P48" i="10"/>
  <c r="P88" i="10"/>
  <c r="P68" i="10"/>
  <c r="P238" i="8"/>
  <c r="P178" i="8"/>
  <c r="P168" i="8"/>
  <c r="P228" i="8"/>
  <c r="P208" i="8"/>
  <c r="P158" i="8"/>
  <c r="P48" i="8"/>
  <c r="P58" i="8"/>
  <c r="P218" i="8"/>
  <c r="P118" i="8"/>
  <c r="P188" i="8"/>
  <c r="P128" i="8"/>
  <c r="P198" i="8"/>
  <c r="P78" i="8"/>
  <c r="P68" i="8"/>
  <c r="P108" i="8"/>
  <c r="P88" i="8"/>
  <c r="P98" i="8"/>
  <c r="P138" i="8"/>
  <c r="P148" i="8"/>
  <c r="K22" i="9"/>
  <c r="P38" i="8"/>
  <c r="K20" i="6"/>
  <c r="P38" i="10"/>
  <c r="K19" i="5"/>
  <c r="O11" i="7"/>
  <c r="O11" i="8"/>
  <c r="O11" i="10"/>
  <c r="P222" i="10"/>
  <c r="P162" i="10"/>
  <c r="P232" i="10"/>
  <c r="P182" i="10"/>
  <c r="P172" i="10"/>
  <c r="P102" i="10"/>
  <c r="P202" i="10"/>
  <c r="P192" i="10"/>
  <c r="P212" i="10"/>
  <c r="P42" i="10"/>
  <c r="P122" i="10"/>
  <c r="P152" i="10"/>
  <c r="P142" i="10"/>
  <c r="P132" i="10"/>
  <c r="P112" i="10"/>
  <c r="P52" i="10"/>
  <c r="P62" i="10"/>
  <c r="P82" i="10"/>
  <c r="P72" i="10"/>
  <c r="P232" i="8"/>
  <c r="P162" i="8"/>
  <c r="P222" i="8"/>
  <c r="P92" i="10"/>
  <c r="P202" i="8"/>
  <c r="P142" i="8"/>
  <c r="P122" i="8"/>
  <c r="P212" i="8"/>
  <c r="P192" i="8"/>
  <c r="P112" i="8"/>
  <c r="P132" i="8"/>
  <c r="P182" i="8"/>
  <c r="P172" i="8"/>
  <c r="P102" i="8"/>
  <c r="P52" i="8"/>
  <c r="P152" i="8"/>
  <c r="P42" i="8"/>
  <c r="P72" i="8"/>
  <c r="P82" i="8"/>
  <c r="P62" i="8"/>
  <c r="P92" i="8"/>
  <c r="P32" i="8"/>
  <c r="E20" i="6"/>
  <c r="P32" i="10"/>
  <c r="E19" i="5"/>
  <c r="E22" i="9"/>
  <c r="D205" i="7"/>
  <c r="D235" i="7"/>
  <c r="D239" i="7" s="1" a="1"/>
  <c r="D215" i="7"/>
  <c r="T151" i="10"/>
  <c r="D35" i="7"/>
  <c r="T31" i="10"/>
  <c r="D10" i="9"/>
  <c r="T31" i="8"/>
  <c r="D8" i="5"/>
  <c r="D8" i="6"/>
  <c r="D145" i="7"/>
  <c r="D149" i="7" s="1" a="1"/>
  <c r="D115" i="7"/>
  <c r="D195" i="7"/>
  <c r="D199" i="7" s="1" a="1"/>
  <c r="T191" i="8"/>
  <c r="D105" i="7"/>
  <c r="D109" i="7" s="1" a="1"/>
  <c r="D95" i="7"/>
  <c r="T131" i="8"/>
  <c r="D175" i="7"/>
  <c r="D179" i="7" s="1" a="1"/>
  <c r="D45" i="7"/>
  <c r="D49" i="7" s="1" a="1"/>
  <c r="D125" i="7"/>
  <c r="D75" i="7"/>
  <c r="D155" i="7"/>
  <c r="D159" i="7" s="1" a="1"/>
  <c r="T91" i="10"/>
  <c r="T71" i="8"/>
  <c r="D55" i="7"/>
  <c r="T131" i="10"/>
  <c r="T111" i="10"/>
  <c r="T141" i="8"/>
  <c r="T141" i="10"/>
  <c r="D85" i="7"/>
  <c r="T101" i="10"/>
  <c r="T121" i="10"/>
  <c r="T91" i="8"/>
  <c r="D65" i="7"/>
  <c r="D69" i="7" s="1" a="1"/>
  <c r="T171" i="10"/>
  <c r="T71" i="10"/>
  <c r="T121" i="8"/>
  <c r="T191" i="10"/>
  <c r="T81" i="8"/>
  <c r="T41" i="10"/>
  <c r="D165" i="7"/>
  <c r="T221" i="10"/>
  <c r="T161" i="10"/>
  <c r="T51" i="10"/>
  <c r="T211" i="10"/>
  <c r="T211" i="8"/>
  <c r="T111" i="8"/>
  <c r="T101" i="8"/>
  <c r="T201" i="10"/>
  <c r="T181" i="10"/>
  <c r="T221" i="8"/>
  <c r="T171" i="8"/>
  <c r="T51" i="8"/>
  <c r="T41" i="8"/>
  <c r="T61" i="8"/>
  <c r="D225" i="7"/>
  <c r="D229" i="7" s="1" a="1"/>
  <c r="T231" i="10"/>
  <c r="T81" i="10"/>
  <c r="T201" i="8"/>
  <c r="T161" i="8"/>
  <c r="T61" i="10"/>
  <c r="T231" i="8"/>
  <c r="D185" i="7"/>
  <c r="D135" i="7"/>
  <c r="T181" i="8"/>
  <c r="T151" i="8"/>
  <c r="J12" i="8"/>
  <c r="J12" i="10"/>
  <c r="J12" i="7"/>
  <c r="K12" i="10"/>
  <c r="K12" i="7"/>
  <c r="K12" i="8"/>
  <c r="K24" i="10"/>
  <c r="K24" i="8"/>
  <c r="H19" i="10"/>
  <c r="H19" i="8"/>
  <c r="H19" i="7"/>
  <c r="M18" i="7"/>
  <c r="M18" i="10"/>
  <c r="M18" i="8"/>
  <c r="K10" i="8"/>
  <c r="K10" i="10"/>
  <c r="L19" i="7"/>
  <c r="L19" i="8"/>
  <c r="L19" i="10"/>
  <c r="O22" i="8"/>
  <c r="O22" i="10"/>
  <c r="N24" i="10"/>
  <c r="N24" i="8"/>
  <c r="G8" i="8"/>
  <c r="G8" i="7"/>
  <c r="G8" i="10"/>
  <c r="N23" i="7"/>
  <c r="N23" i="10"/>
  <c r="N23" i="8"/>
  <c r="H24" i="10"/>
  <c r="H24" i="8"/>
  <c r="L16" i="7"/>
  <c r="M24" i="7"/>
  <c r="N13" i="7"/>
  <c r="F14" i="7"/>
  <c r="AJ14" i="7" s="1"/>
  <c r="J13" i="8"/>
  <c r="H13" i="8"/>
  <c r="M24" i="8"/>
  <c r="J9" i="10"/>
  <c r="P224" i="10"/>
  <c r="P234" i="10"/>
  <c r="P164" i="10"/>
  <c r="P174" i="10"/>
  <c r="P214" i="10"/>
  <c r="P104" i="10"/>
  <c r="P114" i="10"/>
  <c r="P124" i="10"/>
  <c r="P144" i="10"/>
  <c r="P134" i="10"/>
  <c r="P184" i="10"/>
  <c r="P194" i="10"/>
  <c r="P204" i="10"/>
  <c r="P54" i="10"/>
  <c r="P154" i="10"/>
  <c r="P74" i="10"/>
  <c r="P44" i="10"/>
  <c r="P64" i="10"/>
  <c r="P84" i="10"/>
  <c r="P194" i="8"/>
  <c r="P164" i="8"/>
  <c r="P224" i="8"/>
  <c r="P234" i="8"/>
  <c r="P174" i="8"/>
  <c r="P94" i="10"/>
  <c r="P114" i="8"/>
  <c r="P134" i="8"/>
  <c r="P184" i="8"/>
  <c r="P104" i="8"/>
  <c r="P44" i="8"/>
  <c r="P204" i="8"/>
  <c r="P144" i="8"/>
  <c r="P214" i="8"/>
  <c r="P124" i="8"/>
  <c r="P54" i="8"/>
  <c r="P74" i="8"/>
  <c r="P84" i="8"/>
  <c r="P154" i="8"/>
  <c r="P64" i="8"/>
  <c r="P34" i="10"/>
  <c r="P34" i="8"/>
  <c r="P94" i="8"/>
  <c r="G20" i="6"/>
  <c r="G19" i="5"/>
  <c r="G22" i="9"/>
  <c r="O23" i="7"/>
  <c r="O23" i="10"/>
  <c r="J15" i="7"/>
  <c r="J15" i="8"/>
  <c r="J15" i="10"/>
  <c r="G13" i="7"/>
  <c r="G13" i="10"/>
  <c r="L6" i="7"/>
  <c r="L6" i="10"/>
  <c r="L21" i="8"/>
  <c r="L21" i="10"/>
  <c r="I19" i="8"/>
  <c r="I19" i="7"/>
  <c r="I19" i="10"/>
  <c r="K13" i="7"/>
  <c r="K13" i="10"/>
  <c r="L22" i="10"/>
  <c r="L22" i="8"/>
  <c r="D100" i="7"/>
  <c r="D210" i="7"/>
  <c r="D21" i="6" a="1"/>
  <c r="D230" i="7"/>
  <c r="D220" i="7"/>
  <c r="D23" i="9" a="1"/>
  <c r="D90" i="7"/>
  <c r="D190" i="7"/>
  <c r="D200" i="7"/>
  <c r="D140" i="7"/>
  <c r="D50" i="7"/>
  <c r="D120" i="7"/>
  <c r="C221" i="10"/>
  <c r="D221" i="10" a="1"/>
  <c r="D60" i="7"/>
  <c r="D70" i="7"/>
  <c r="D110" i="7"/>
  <c r="E221" i="10" a="1"/>
  <c r="D170" i="7"/>
  <c r="D180" i="7"/>
  <c r="D40" i="7"/>
  <c r="D130" i="7"/>
  <c r="D231" i="10" a="1"/>
  <c r="C161" i="10"/>
  <c r="C171" i="10"/>
  <c r="C181" i="10"/>
  <c r="D160" i="7"/>
  <c r="D161" i="10" a="1"/>
  <c r="D171" i="10" a="1"/>
  <c r="D181" i="10" a="1"/>
  <c r="E161" i="10" a="1"/>
  <c r="E171" i="10" a="1"/>
  <c r="E181" i="10" a="1"/>
  <c r="D101" i="10" a="1"/>
  <c r="D201" i="10" a="1"/>
  <c r="C191" i="10"/>
  <c r="D80" i="7"/>
  <c r="D191" i="10" a="1"/>
  <c r="E191" i="10" a="1"/>
  <c r="D211" i="10" a="1"/>
  <c r="D150" i="7"/>
  <c r="C231" i="10"/>
  <c r="E231" i="10" a="1"/>
  <c r="C211" i="10"/>
  <c r="C101" i="10"/>
  <c r="C121" i="10"/>
  <c r="C41" i="10"/>
  <c r="E211" i="10" a="1"/>
  <c r="E101" i="10" a="1"/>
  <c r="D121" i="10" a="1"/>
  <c r="E41" i="10" a="1"/>
  <c r="D51" i="10" a="1"/>
  <c r="C61" i="10"/>
  <c r="E121" i="10" a="1"/>
  <c r="C141" i="10"/>
  <c r="C131" i="10"/>
  <c r="D141" i="10" a="1"/>
  <c r="C111" i="10"/>
  <c r="D131" i="10" a="1"/>
  <c r="E141" i="10" a="1"/>
  <c r="D111" i="10" a="1"/>
  <c r="E131" i="10" a="1"/>
  <c r="C201" i="10"/>
  <c r="E201" i="10" a="1"/>
  <c r="E111" i="10" a="1"/>
  <c r="E151" i="10" a="1"/>
  <c r="C51" i="10"/>
  <c r="E51" i="10" a="1"/>
  <c r="D41" i="10" a="1"/>
  <c r="D61" i="10" a="1"/>
  <c r="E61" i="10" a="1"/>
  <c r="D91" i="10" a="1"/>
  <c r="C81" i="10"/>
  <c r="C71" i="10"/>
  <c r="D81" i="10" a="1"/>
  <c r="E91" i="10" a="1"/>
  <c r="D71" i="10" a="1"/>
  <c r="E71" i="10" a="1"/>
  <c r="C151" i="10"/>
  <c r="D151" i="10" a="1"/>
  <c r="E81" i="10" a="1"/>
  <c r="C91" i="10"/>
  <c r="D161" i="8" a="1"/>
  <c r="E161" i="8" a="1"/>
  <c r="C221" i="8"/>
  <c r="D221" i="8" a="1"/>
  <c r="E221" i="8" a="1"/>
  <c r="C171" i="8"/>
  <c r="C181" i="8"/>
  <c r="C231" i="8"/>
  <c r="D171" i="8" a="1"/>
  <c r="D181" i="8" a="1"/>
  <c r="D231" i="8" a="1"/>
  <c r="E171" i="8" a="1"/>
  <c r="E181" i="8" a="1"/>
  <c r="E231" i="8" a="1"/>
  <c r="E191" i="8" a="1"/>
  <c r="C161" i="8"/>
  <c r="C191" i="8"/>
  <c r="D41" i="8" a="1"/>
  <c r="C51" i="8"/>
  <c r="C61" i="8"/>
  <c r="D191" i="8" a="1"/>
  <c r="E41" i="8" a="1"/>
  <c r="D51" i="8" a="1"/>
  <c r="D61" i="8" a="1"/>
  <c r="C101" i="8"/>
  <c r="D101" i="8" a="1"/>
  <c r="C141" i="8"/>
  <c r="E101" i="8" a="1"/>
  <c r="C121" i="8"/>
  <c r="E141" i="8" a="1"/>
  <c r="D151" i="8" a="1"/>
  <c r="C91" i="8"/>
  <c r="D121" i="8" a="1"/>
  <c r="E151" i="8" a="1"/>
  <c r="E121" i="8" a="1"/>
  <c r="C201" i="8"/>
  <c r="C211" i="8"/>
  <c r="C111" i="8"/>
  <c r="C131" i="8"/>
  <c r="D81" i="8" a="1"/>
  <c r="D201" i="8" a="1"/>
  <c r="D211" i="8" a="1"/>
  <c r="D111" i="8" a="1"/>
  <c r="D131" i="8" a="1"/>
  <c r="E81" i="8" a="1"/>
  <c r="E201" i="8" a="1"/>
  <c r="E211" i="8" a="1"/>
  <c r="C41" i="8"/>
  <c r="E51" i="8" a="1"/>
  <c r="E111" i="8" a="1"/>
  <c r="E131" i="8" a="1"/>
  <c r="E91" i="8" a="1"/>
  <c r="E61" i="8" a="1"/>
  <c r="C71" i="8"/>
  <c r="C151" i="8"/>
  <c r="D71" i="8" a="1"/>
  <c r="C81" i="8"/>
  <c r="E71" i="8" a="1"/>
  <c r="D141" i="8" a="1"/>
  <c r="D91" i="8" a="1"/>
  <c r="G5" i="8"/>
  <c r="G5" i="10"/>
  <c r="N17" i="7"/>
  <c r="N17" i="10"/>
  <c r="G24" i="7"/>
  <c r="G24" i="8"/>
  <c r="G24" i="10"/>
  <c r="O16" i="7"/>
  <c r="O22" i="7"/>
  <c r="L24" i="7"/>
  <c r="I9" i="7"/>
  <c r="AJ23" i="7"/>
  <c r="J22" i="7"/>
  <c r="M13" i="7"/>
  <c r="G22" i="8"/>
  <c r="AK22" i="8" s="1"/>
  <c r="L12" i="8"/>
  <c r="V30" i="8"/>
  <c r="W30" i="8"/>
  <c r="I47" i="10"/>
  <c r="H47" i="10" s="1"/>
  <c r="C39" i="7"/>
  <c r="I47" i="8"/>
  <c r="H47" i="8" s="1"/>
  <c r="C139" i="7"/>
  <c r="G60" i="7"/>
  <c r="G120" i="7"/>
  <c r="G190" i="7"/>
  <c r="G200" i="7"/>
  <c r="G50" i="7"/>
  <c r="G110" i="7"/>
  <c r="G100" i="7"/>
  <c r="G210" i="7"/>
  <c r="G21" i="6" a="1"/>
  <c r="G220" i="7"/>
  <c r="G40" i="7"/>
  <c r="G70" i="7"/>
  <c r="G80" i="7"/>
  <c r="C224" i="10"/>
  <c r="G150" i="7"/>
  <c r="G160" i="7"/>
  <c r="D224" i="10" a="1"/>
  <c r="G140" i="7"/>
  <c r="E224" i="10" a="1"/>
  <c r="G23" i="9" a="1"/>
  <c r="C234" i="10"/>
  <c r="E234" i="10" a="1"/>
  <c r="G230" i="7"/>
  <c r="G170" i="7"/>
  <c r="G180" i="7"/>
  <c r="G130" i="7"/>
  <c r="C174" i="10"/>
  <c r="E184" i="10" a="1"/>
  <c r="D174" i="10" a="1"/>
  <c r="C164" i="10"/>
  <c r="E174" i="10" a="1"/>
  <c r="D194" i="10" a="1"/>
  <c r="D164" i="10" a="1"/>
  <c r="E164" i="10" a="1"/>
  <c r="C214" i="10"/>
  <c r="D234" i="10" a="1"/>
  <c r="E214" i="10" a="1"/>
  <c r="G90" i="7"/>
  <c r="C184" i="10"/>
  <c r="C204" i="10"/>
  <c r="D214" i="10" a="1"/>
  <c r="D204" i="10" a="1"/>
  <c r="C124" i="10"/>
  <c r="E204" i="10" a="1"/>
  <c r="D124" i="10" a="1"/>
  <c r="C144" i="10"/>
  <c r="C194" i="10"/>
  <c r="C104" i="10"/>
  <c r="D144" i="10" a="1"/>
  <c r="E154" i="10" a="1"/>
  <c r="E194" i="10" a="1"/>
  <c r="D104" i="10" a="1"/>
  <c r="C114" i="10"/>
  <c r="E124" i="10" a="1"/>
  <c r="D184" i="10" a="1"/>
  <c r="E104" i="10" a="1"/>
  <c r="D114" i="10" a="1"/>
  <c r="C134" i="10"/>
  <c r="E144" i="10" a="1"/>
  <c r="D64" i="10" a="1"/>
  <c r="E114" i="10" a="1"/>
  <c r="D134" i="10" a="1"/>
  <c r="E134" i="10" a="1"/>
  <c r="D154" i="10" a="1"/>
  <c r="D44" i="10" a="1"/>
  <c r="E64" i="10" a="1"/>
  <c r="E44" i="10" a="1"/>
  <c r="E84" i="10" a="1"/>
  <c r="C94" i="10"/>
  <c r="E94" i="10" a="1"/>
  <c r="C54" i="10"/>
  <c r="D54" i="10" a="1"/>
  <c r="C74" i="10"/>
  <c r="E54" i="10" a="1"/>
  <c r="D74" i="10" a="1"/>
  <c r="C154" i="10"/>
  <c r="C44" i="10"/>
  <c r="C64" i="10"/>
  <c r="D94" i="10" a="1"/>
  <c r="C84" i="10"/>
  <c r="E74" i="10" a="1"/>
  <c r="D84" i="10" a="1"/>
  <c r="C234" i="8"/>
  <c r="D234" i="8" a="1"/>
  <c r="E234" i="8" a="1"/>
  <c r="D174" i="8" a="1"/>
  <c r="E174" i="8" a="1"/>
  <c r="E184" i="8" a="1"/>
  <c r="C164" i="8"/>
  <c r="E194" i="8" a="1"/>
  <c r="D164" i="8" a="1"/>
  <c r="E164" i="8" a="1"/>
  <c r="C224" i="8"/>
  <c r="D224" i="8" a="1"/>
  <c r="E224" i="8" a="1"/>
  <c r="C174" i="8"/>
  <c r="D184" i="8" a="1"/>
  <c r="C194" i="8"/>
  <c r="D204" i="8" a="1"/>
  <c r="C144" i="8"/>
  <c r="D154" i="8" a="1"/>
  <c r="D194" i="8" a="1"/>
  <c r="C124" i="8"/>
  <c r="D144" i="8" a="1"/>
  <c r="E154" i="8" a="1"/>
  <c r="E204" i="8" a="1"/>
  <c r="C214" i="8"/>
  <c r="D124" i="8" a="1"/>
  <c r="D214" i="8" a="1"/>
  <c r="C114" i="8"/>
  <c r="E124" i="8" a="1"/>
  <c r="E214" i="8" a="1"/>
  <c r="D114" i="8" a="1"/>
  <c r="E114" i="8" a="1"/>
  <c r="D134" i="8" a="1"/>
  <c r="E84" i="8" a="1"/>
  <c r="E134" i="8" a="1"/>
  <c r="C104" i="8"/>
  <c r="C44" i="8"/>
  <c r="C64" i="8"/>
  <c r="E74" i="8" a="1"/>
  <c r="D104" i="8" a="1"/>
  <c r="D44" i="8" a="1"/>
  <c r="C54" i="8"/>
  <c r="D64" i="8" a="1"/>
  <c r="E104" i="8" a="1"/>
  <c r="C184" i="8"/>
  <c r="C204" i="8"/>
  <c r="C154" i="8"/>
  <c r="E44" i="8" a="1"/>
  <c r="E54" i="8" a="1"/>
  <c r="C84" i="8"/>
  <c r="D84" i="8" a="1"/>
  <c r="C134" i="8"/>
  <c r="E64" i="8" a="1"/>
  <c r="E144" i="8" a="1"/>
  <c r="C94" i="8"/>
  <c r="D54" i="8" a="1"/>
  <c r="E94" i="8" a="1"/>
  <c r="C74" i="8"/>
  <c r="D74" i="8" a="1"/>
  <c r="J5" i="10"/>
  <c r="J5" i="8"/>
  <c r="D94" i="8" a="1"/>
  <c r="D82" i="9"/>
  <c r="C82" i="9" s="1"/>
  <c r="D78" i="9"/>
  <c r="C78" i="9" s="1"/>
  <c r="D74" i="9"/>
  <c r="C74" i="9" s="1"/>
  <c r="D70" i="9"/>
  <c r="C70" i="9" s="1"/>
  <c r="D85" i="9"/>
  <c r="C85" i="9" s="1"/>
  <c r="D80" i="9"/>
  <c r="C80" i="9" s="1"/>
  <c r="D81" i="9"/>
  <c r="C81" i="9" s="1"/>
  <c r="D83" i="9"/>
  <c r="C83" i="9" s="1"/>
  <c r="D77" i="9"/>
  <c r="C77" i="9" s="1"/>
  <c r="D79" i="9"/>
  <c r="C79" i="9" s="1"/>
  <c r="D73" i="9"/>
  <c r="C73" i="9" s="1"/>
  <c r="D75" i="9"/>
  <c r="C75" i="9" s="1"/>
  <c r="D71" i="9"/>
  <c r="C71" i="9" s="1"/>
  <c r="F34" i="9"/>
  <c r="F35" i="9" s="1"/>
  <c r="D84" i="9"/>
  <c r="C84" i="9" s="1"/>
  <c r="D76" i="9"/>
  <c r="C76" i="9" s="1"/>
  <c r="D86" i="9"/>
  <c r="C86" i="9" s="1"/>
  <c r="D72" i="9"/>
  <c r="C72" i="9" s="1"/>
  <c r="D72" i="6"/>
  <c r="C72" i="6" s="1"/>
  <c r="D73" i="6"/>
  <c r="C73" i="6" s="1"/>
  <c r="D69" i="6"/>
  <c r="C69" i="6" s="1"/>
  <c r="D68" i="6"/>
  <c r="C68" i="6" s="1"/>
  <c r="D78" i="6"/>
  <c r="C78" i="6" s="1"/>
  <c r="D80" i="6"/>
  <c r="C80" i="6" s="1"/>
  <c r="D83" i="6"/>
  <c r="C83" i="6" s="1"/>
  <c r="D74" i="6"/>
  <c r="C74" i="6" s="1"/>
  <c r="D79" i="6"/>
  <c r="C79" i="6" s="1"/>
  <c r="D82" i="6"/>
  <c r="C82" i="6" s="1"/>
  <c r="D75" i="6"/>
  <c r="C75" i="6" s="1"/>
  <c r="D76" i="6"/>
  <c r="C76" i="6" s="1"/>
  <c r="D77" i="6"/>
  <c r="C77" i="6" s="1"/>
  <c r="C11" i="6"/>
  <c r="D71" i="6"/>
  <c r="C71" i="6" s="1"/>
  <c r="D70" i="6"/>
  <c r="C70" i="6" s="1"/>
  <c r="D84" i="6"/>
  <c r="C84" i="6" s="1"/>
  <c r="D81" i="6"/>
  <c r="C81" i="6" s="1"/>
  <c r="C199" i="7"/>
  <c r="C209" i="7"/>
  <c r="C219" i="7"/>
  <c r="C239" i="7"/>
  <c r="C229" i="7"/>
  <c r="C49" i="7"/>
  <c r="C129" i="7"/>
  <c r="C179" i="7"/>
  <c r="C69" i="7"/>
  <c r="C109" i="7"/>
  <c r="C189" i="7"/>
  <c r="C149" i="7"/>
  <c r="W220" i="10"/>
  <c r="W230" i="10"/>
  <c r="W210" i="10"/>
  <c r="W170" i="10"/>
  <c r="W190" i="10"/>
  <c r="W200" i="10"/>
  <c r="W180" i="10"/>
  <c r="W160" i="10"/>
  <c r="W110" i="10"/>
  <c r="W100" i="10"/>
  <c r="W120" i="10"/>
  <c r="W130" i="10"/>
  <c r="W50" i="10"/>
  <c r="W60" i="10"/>
  <c r="W230" i="8"/>
  <c r="W220" i="8"/>
  <c r="W210" i="8"/>
  <c r="W200" i="8"/>
  <c r="W190" i="8"/>
  <c r="W160" i="8"/>
  <c r="W180" i="8"/>
  <c r="W170" i="8"/>
  <c r="W150" i="8"/>
  <c r="W100" i="8"/>
  <c r="W130" i="8"/>
  <c r="W110" i="8"/>
  <c r="W120" i="8"/>
  <c r="W140" i="8"/>
  <c r="W70" i="8"/>
  <c r="W80" i="8"/>
  <c r="W40" i="8"/>
  <c r="W60" i="8"/>
  <c r="W90" i="8"/>
  <c r="AJ18" i="10"/>
  <c r="AJ13" i="8"/>
  <c r="AA12" i="8"/>
  <c r="AA19" i="7"/>
  <c r="AA11" i="7"/>
  <c r="AK11" i="7"/>
  <c r="G5" i="7"/>
  <c r="F5" i="7"/>
  <c r="N5" i="7"/>
  <c r="P15" i="4"/>
  <c r="P27" i="4"/>
  <c r="P16" i="4"/>
  <c r="P22" i="4"/>
  <c r="P26" i="4"/>
  <c r="P19" i="4"/>
  <c r="P28" i="4"/>
  <c r="P20" i="4"/>
  <c r="P9" i="4"/>
  <c r="P14" i="4"/>
  <c r="P17" i="4"/>
  <c r="P11" i="4"/>
  <c r="P23" i="4"/>
  <c r="P12" i="4"/>
  <c r="P24" i="4"/>
  <c r="P25" i="4"/>
  <c r="V30" i="10"/>
  <c r="W30" i="10"/>
  <c r="F62" i="9"/>
  <c r="D13" i="9"/>
  <c r="D14" i="9" s="1"/>
  <c r="D33" i="3"/>
  <c r="D34" i="3" s="1"/>
  <c r="D35" i="3"/>
  <c r="F28" i="3"/>
  <c r="G10" i="3"/>
  <c r="G29" i="3" s="1"/>
  <c r="J27" i="3"/>
  <c r="F10" i="3"/>
  <c r="F29" i="3" s="1"/>
  <c r="F27" i="3"/>
  <c r="I27" i="3"/>
  <c r="F31" i="3"/>
  <c r="E10" i="3"/>
  <c r="E29" i="3" s="1"/>
  <c r="E27" i="3"/>
  <c r="G27" i="3"/>
  <c r="G15" i="3"/>
  <c r="G30" i="3" s="1"/>
  <c r="H27" i="3"/>
  <c r="E33" i="3"/>
  <c r="K27" i="3"/>
  <c r="C25" i="8"/>
  <c r="Z25" i="8"/>
  <c r="C16" i="6" s="1"/>
  <c r="D7" i="6"/>
  <c r="D9" i="6" s="1" a="1"/>
  <c r="C25" i="7"/>
  <c r="H32" i="4"/>
  <c r="H8" i="4"/>
  <c r="G8" i="4"/>
  <c r="H4" i="4"/>
  <c r="G4" i="4"/>
  <c r="E7" i="5"/>
  <c r="D7" i="5"/>
  <c r="L63" i="6"/>
  <c r="G32" i="4"/>
  <c r="K63" i="6"/>
  <c r="Z25" i="7"/>
  <c r="C15" i="5" s="1"/>
  <c r="E53" i="4"/>
  <c r="P53" i="4" s="1"/>
  <c r="E29" i="4"/>
  <c r="AK13" i="10" l="1"/>
  <c r="AA21" i="10"/>
  <c r="AK21" i="10"/>
  <c r="AA11" i="8"/>
  <c r="AK11" i="8"/>
  <c r="AA10" i="8"/>
  <c r="AK10" i="8"/>
  <c r="AA10" i="7"/>
  <c r="AK10" i="7"/>
  <c r="AK18" i="7"/>
  <c r="AA18" i="7"/>
  <c r="AK21" i="8"/>
  <c r="AA21" i="8"/>
  <c r="AK20" i="10"/>
  <c r="AA20" i="10"/>
  <c r="AA21" i="7"/>
  <c r="AK21" i="7"/>
  <c r="AA22" i="7"/>
  <c r="AK22" i="7"/>
  <c r="AK15" i="8"/>
  <c r="AA15" i="8"/>
  <c r="AK20" i="7"/>
  <c r="AA20" i="7"/>
  <c r="AA16" i="10"/>
  <c r="AK16" i="10"/>
  <c r="AA17" i="7"/>
  <c r="AK17" i="7"/>
  <c r="AA23" i="8"/>
  <c r="AK23" i="8"/>
  <c r="AA9" i="8"/>
  <c r="AK9" i="8"/>
  <c r="AA14" i="7"/>
  <c r="AK14" i="7"/>
  <c r="AA23" i="7"/>
  <c r="AK23" i="7"/>
  <c r="J91" i="7"/>
  <c r="AK19" i="8"/>
  <c r="AK16" i="7"/>
  <c r="AA16" i="8"/>
  <c r="AK16" i="8"/>
  <c r="J32" i="8"/>
  <c r="Q32" i="8" s="1"/>
  <c r="R32" i="8" s="1"/>
  <c r="U31" i="8"/>
  <c r="H38" i="5"/>
  <c r="H51" i="7"/>
  <c r="H45" i="8"/>
  <c r="Q7" i="10" a="1"/>
  <c r="V7" i="10" a="1"/>
  <c r="T7" i="8" a="1"/>
  <c r="V7" i="8" a="1"/>
  <c r="Q7" i="8" a="1"/>
  <c r="T5" i="7" a="1"/>
  <c r="X5" i="7" a="1"/>
  <c r="Q5" i="7" a="1"/>
  <c r="W5" i="7" a="1"/>
  <c r="P5" i="7" a="1"/>
  <c r="AJ5" i="7" s="1"/>
  <c r="V5" i="7" a="1"/>
  <c r="U5" i="7" a="1"/>
  <c r="Q6" i="8" a="1"/>
  <c r="S6" i="8" a="1"/>
  <c r="X6" i="8" a="1"/>
  <c r="P6" i="8" a="1"/>
  <c r="AJ6" i="8" s="1"/>
  <c r="W6" i="8" a="1"/>
  <c r="V6" i="8" a="1"/>
  <c r="T6" i="8" a="1"/>
  <c r="R6" i="8" a="1"/>
  <c r="Y6" i="8" a="1"/>
  <c r="U6" i="8" a="1"/>
  <c r="U5" i="8" a="1"/>
  <c r="Y5" i="8" a="1"/>
  <c r="S5" i="8" a="1"/>
  <c r="R5" i="8" a="1"/>
  <c r="W5" i="8" a="1"/>
  <c r="X5" i="8" a="1"/>
  <c r="Q5" i="8" a="1"/>
  <c r="V5" i="8" a="1"/>
  <c r="T5" i="8" a="1"/>
  <c r="P5" i="8" a="1"/>
  <c r="AJ5" i="8" s="1"/>
  <c r="AK5" i="8" s="1"/>
  <c r="S6" i="7" a="1"/>
  <c r="X6" i="7" a="1"/>
  <c r="V6" i="7" a="1"/>
  <c r="U6" i="7" a="1"/>
  <c r="W6" i="7" a="1"/>
  <c r="T6" i="7" a="1"/>
  <c r="R6" i="7" a="1"/>
  <c r="P6" i="7" a="1"/>
  <c r="AJ6" i="7" s="1"/>
  <c r="Q6" i="7" a="1"/>
  <c r="Y6" i="7" a="1"/>
  <c r="T6" i="10" a="1"/>
  <c r="S6" i="10" a="1"/>
  <c r="Y6" i="10" a="1"/>
  <c r="P6" i="10" a="1"/>
  <c r="AJ6" i="10" s="1"/>
  <c r="R6" i="10" a="1"/>
  <c r="U6" i="10" a="1"/>
  <c r="V6" i="10" a="1"/>
  <c r="Q6" i="10" a="1"/>
  <c r="W6" i="10" a="1"/>
  <c r="X6" i="10" a="1"/>
  <c r="S7" i="8" a="1"/>
  <c r="Y7" i="8" a="1"/>
  <c r="U7" i="8" a="1"/>
  <c r="W7" i="8" a="1"/>
  <c r="X7" i="8" a="1"/>
  <c r="R7" i="8" a="1"/>
  <c r="P7" i="8" a="1"/>
  <c r="AJ7" i="8" s="1"/>
  <c r="R7" i="10" a="1"/>
  <c r="U7" i="10" a="1"/>
  <c r="P7" i="10" a="1"/>
  <c r="AJ7" i="10" s="1"/>
  <c r="Y7" i="10" a="1"/>
  <c r="X7" i="10" a="1"/>
  <c r="S7" i="10" a="1"/>
  <c r="T7" i="10" a="1"/>
  <c r="W7" i="10" a="1"/>
  <c r="Q7" i="7" a="1"/>
  <c r="V7" i="7" a="1"/>
  <c r="S7" i="7" a="1"/>
  <c r="T7" i="7" a="1"/>
  <c r="X7" i="7" a="1"/>
  <c r="P7" i="7" a="1"/>
  <c r="AJ7" i="7" s="1"/>
  <c r="W7" i="7" a="1"/>
  <c r="R7" i="7" a="1"/>
  <c r="Y7" i="7" a="1"/>
  <c r="U7" i="7" a="1"/>
  <c r="U5" i="10" a="1"/>
  <c r="S5" i="10" a="1"/>
  <c r="Q5" i="10" a="1"/>
  <c r="Y5" i="10" a="1"/>
  <c r="T5" i="10" a="1"/>
  <c r="V5" i="10" a="1"/>
  <c r="X5" i="10" a="1"/>
  <c r="R5" i="10" a="1"/>
  <c r="P5" i="10" a="1"/>
  <c r="AJ5" i="10" s="1"/>
  <c r="W5" i="10" a="1"/>
  <c r="S5" i="7" a="1"/>
  <c r="Y5" i="7" a="1"/>
  <c r="R5" i="7" a="1"/>
  <c r="I137" i="8"/>
  <c r="H137" i="8" s="1"/>
  <c r="I57" i="8"/>
  <c r="H57" i="8" s="1"/>
  <c r="I107" i="8"/>
  <c r="H107" i="8" s="1"/>
  <c r="AA9" i="7"/>
  <c r="I67" i="8"/>
  <c r="H67" i="8" s="1"/>
  <c r="J101" i="7"/>
  <c r="J71" i="7"/>
  <c r="J141" i="7"/>
  <c r="J81" i="7"/>
  <c r="J51" i="7"/>
  <c r="J61" i="7"/>
  <c r="AK13" i="7"/>
  <c r="AK8" i="10"/>
  <c r="AA9" i="10"/>
  <c r="AK9" i="10"/>
  <c r="AB9" i="10" s="1"/>
  <c r="AK24" i="10"/>
  <c r="AA8" i="10"/>
  <c r="AL12" i="10"/>
  <c r="I55" i="10"/>
  <c r="H55" i="10" s="1"/>
  <c r="AK14" i="10"/>
  <c r="AB14" i="10" s="1"/>
  <c r="AK19" i="10"/>
  <c r="AB19" i="10" s="1"/>
  <c r="U31" i="10"/>
  <c r="I87" i="10"/>
  <c r="H87" i="10" s="1"/>
  <c r="AK15" i="10"/>
  <c r="AA15" i="10"/>
  <c r="AA24" i="10"/>
  <c r="AA23" i="10"/>
  <c r="I117" i="10"/>
  <c r="H117" i="10" s="1"/>
  <c r="I65" i="10"/>
  <c r="H65" i="10" s="1"/>
  <c r="AL11" i="10"/>
  <c r="AM11" i="10" s="1"/>
  <c r="I75" i="10"/>
  <c r="H75" i="10" s="1"/>
  <c r="I195" i="10"/>
  <c r="H195" i="10" s="1"/>
  <c r="AL10" i="10"/>
  <c r="AC10" i="10" s="1"/>
  <c r="I45" i="10"/>
  <c r="H45" i="10" s="1"/>
  <c r="I127" i="10"/>
  <c r="H127" i="10" s="1"/>
  <c r="AK18" i="8"/>
  <c r="AA18" i="8"/>
  <c r="AK15" i="7"/>
  <c r="AA15" i="7"/>
  <c r="I77" i="10"/>
  <c r="H77" i="10" s="1"/>
  <c r="I227" i="10"/>
  <c r="H227" i="10" s="1"/>
  <c r="I77" i="8"/>
  <c r="H77" i="8" s="1"/>
  <c r="I97" i="10"/>
  <c r="H97" i="10" s="1"/>
  <c r="I125" i="10"/>
  <c r="H125" i="10" s="1"/>
  <c r="I157" i="8"/>
  <c r="H157" i="8" s="1"/>
  <c r="I57" i="10"/>
  <c r="H57" i="10" s="1"/>
  <c r="I135" i="10"/>
  <c r="H135" i="10" s="1"/>
  <c r="AK22" i="10"/>
  <c r="I127" i="8"/>
  <c r="H127" i="8" s="1"/>
  <c r="I157" i="10"/>
  <c r="H157" i="10" s="1"/>
  <c r="I205" i="10"/>
  <c r="H205" i="10" s="1"/>
  <c r="AK17" i="8"/>
  <c r="I87" i="8"/>
  <c r="H87" i="8" s="1"/>
  <c r="I147" i="10"/>
  <c r="H147" i="10" s="1"/>
  <c r="I145" i="10"/>
  <c r="H145" i="10" s="1"/>
  <c r="I167" i="10"/>
  <c r="H167" i="10" s="1"/>
  <c r="I67" i="10"/>
  <c r="H67" i="10" s="1"/>
  <c r="I115" i="10"/>
  <c r="H115" i="10" s="1"/>
  <c r="I97" i="8"/>
  <c r="H97" i="8" s="1"/>
  <c r="I167" i="8"/>
  <c r="H167" i="8" s="1"/>
  <c r="I185" i="10"/>
  <c r="H185" i="10" s="1"/>
  <c r="I197" i="10"/>
  <c r="H197" i="10" s="1"/>
  <c r="AA13" i="7"/>
  <c r="I117" i="8"/>
  <c r="H117" i="8" s="1"/>
  <c r="I187" i="8"/>
  <c r="H187" i="8" s="1"/>
  <c r="I137" i="10"/>
  <c r="H137" i="10" s="1"/>
  <c r="I207" i="8"/>
  <c r="H207" i="8" s="1"/>
  <c r="I147" i="8"/>
  <c r="H147" i="8" s="1"/>
  <c r="I107" i="10"/>
  <c r="H107" i="10" s="1"/>
  <c r="AA12" i="7"/>
  <c r="AK12" i="7"/>
  <c r="I215" i="10"/>
  <c r="H215" i="10" s="1"/>
  <c r="I85" i="8"/>
  <c r="H85" i="8" s="1"/>
  <c r="I217" i="8"/>
  <c r="H217" i="8" s="1"/>
  <c r="I85" i="10"/>
  <c r="H85" i="10" s="1"/>
  <c r="I155" i="10"/>
  <c r="H155" i="10" s="1"/>
  <c r="AK8" i="7"/>
  <c r="G151" i="7"/>
  <c r="I165" i="8"/>
  <c r="H165" i="8" s="1"/>
  <c r="AK24" i="8"/>
  <c r="I95" i="8"/>
  <c r="H95" i="8" s="1"/>
  <c r="I197" i="8"/>
  <c r="H197" i="8" s="1"/>
  <c r="I225" i="10"/>
  <c r="H225" i="10" s="1"/>
  <c r="I105" i="8"/>
  <c r="H105" i="8" s="1"/>
  <c r="AK20" i="8"/>
  <c r="AA20" i="8"/>
  <c r="I95" i="10"/>
  <c r="H95" i="10" s="1"/>
  <c r="I175" i="10"/>
  <c r="H175" i="10" s="1"/>
  <c r="I75" i="8"/>
  <c r="H75" i="8" s="1"/>
  <c r="I105" i="10"/>
  <c r="H105" i="10" s="1"/>
  <c r="I235" i="10"/>
  <c r="H235" i="10" s="1"/>
  <c r="I55" i="8"/>
  <c r="H55" i="8" s="1"/>
  <c r="I65" i="8"/>
  <c r="H65" i="8" s="1"/>
  <c r="C12" i="6"/>
  <c r="I227" i="8"/>
  <c r="H227" i="8" s="1"/>
  <c r="I165" i="10"/>
  <c r="H165" i="10" s="1"/>
  <c r="I207" i="10"/>
  <c r="H207" i="10" s="1"/>
  <c r="I217" i="10"/>
  <c r="H217" i="10" s="1"/>
  <c r="I237" i="10"/>
  <c r="H237" i="10" s="1"/>
  <c r="I177" i="10"/>
  <c r="H177" i="10" s="1"/>
  <c r="I187" i="10"/>
  <c r="H187" i="10" s="1"/>
  <c r="AK24" i="7"/>
  <c r="I185" i="8"/>
  <c r="H185" i="8" s="1"/>
  <c r="I235" i="8"/>
  <c r="H235" i="8" s="1"/>
  <c r="I125" i="8"/>
  <c r="H125" i="8" s="1"/>
  <c r="J121" i="7"/>
  <c r="I155" i="8"/>
  <c r="H155" i="8" s="1"/>
  <c r="G161" i="7"/>
  <c r="H81" i="7"/>
  <c r="AK17" i="10"/>
  <c r="AL17" i="10" s="1"/>
  <c r="I215" i="8"/>
  <c r="H215" i="8" s="1"/>
  <c r="G81" i="7"/>
  <c r="G91" i="7"/>
  <c r="I175" i="8"/>
  <c r="H175" i="8" s="1"/>
  <c r="I205" i="8"/>
  <c r="H205" i="8" s="1"/>
  <c r="G61" i="7"/>
  <c r="I145" i="8"/>
  <c r="H145" i="8" s="1"/>
  <c r="I135" i="8"/>
  <c r="H135" i="8" s="1"/>
  <c r="G101" i="7"/>
  <c r="F65" i="7"/>
  <c r="F95" i="7"/>
  <c r="F105" i="7"/>
  <c r="F135" i="7"/>
  <c r="F145" i="7"/>
  <c r="T73" i="10"/>
  <c r="F8" i="6"/>
  <c r="F35" i="7"/>
  <c r="F10" i="9"/>
  <c r="F14" i="9" s="1"/>
  <c r="T33" i="8"/>
  <c r="T33" i="10"/>
  <c r="F8" i="5"/>
  <c r="F115" i="7"/>
  <c r="F125" i="7"/>
  <c r="F175" i="7"/>
  <c r="F215" i="7"/>
  <c r="F155" i="7"/>
  <c r="T233" i="10"/>
  <c r="F195" i="7"/>
  <c r="F185" i="7"/>
  <c r="F205" i="7"/>
  <c r="F45" i="7"/>
  <c r="T113" i="10"/>
  <c r="F55" i="7"/>
  <c r="T53" i="10"/>
  <c r="T53" i="8"/>
  <c r="F225" i="7"/>
  <c r="T213" i="10"/>
  <c r="T163" i="10"/>
  <c r="T103" i="10"/>
  <c r="T93" i="10"/>
  <c r="T223" i="8"/>
  <c r="T153" i="8"/>
  <c r="T63" i="8"/>
  <c r="T143" i="10"/>
  <c r="T123" i="10"/>
  <c r="T153" i="10"/>
  <c r="T43" i="10"/>
  <c r="T63" i="10"/>
  <c r="T143" i="8"/>
  <c r="T113" i="8"/>
  <c r="T133" i="8"/>
  <c r="T123" i="8"/>
  <c r="T133" i="10"/>
  <c r="T183" i="8"/>
  <c r="T93" i="8"/>
  <c r="F165" i="7"/>
  <c r="T223" i="10"/>
  <c r="T193" i="10"/>
  <c r="F85" i="7"/>
  <c r="T203" i="10"/>
  <c r="T83" i="10"/>
  <c r="T213" i="8"/>
  <c r="T203" i="8"/>
  <c r="T173" i="8"/>
  <c r="F75" i="7"/>
  <c r="T103" i="8"/>
  <c r="F235" i="7"/>
  <c r="T43" i="8"/>
  <c r="T193" i="8"/>
  <c r="T173" i="10"/>
  <c r="T163" i="8"/>
  <c r="T183" i="10"/>
  <c r="T233" i="8"/>
  <c r="T83" i="8"/>
  <c r="T73" i="8"/>
  <c r="D11" i="6"/>
  <c r="I237" i="8"/>
  <c r="H237" i="8" s="1"/>
  <c r="I225" i="8"/>
  <c r="H225" i="8" s="1"/>
  <c r="G201" i="7"/>
  <c r="H221" i="7"/>
  <c r="I76" i="8"/>
  <c r="H76" i="8" s="1"/>
  <c r="I106" i="8"/>
  <c r="H106" i="8" s="1"/>
  <c r="I226" i="8"/>
  <c r="H226" i="8" s="1"/>
  <c r="I46" i="8"/>
  <c r="H46" i="8" s="1"/>
  <c r="I96" i="8"/>
  <c r="H96" i="8" s="1"/>
  <c r="I146" i="8"/>
  <c r="H146" i="8" s="1"/>
  <c r="I126" i="8"/>
  <c r="H126" i="8" s="1"/>
  <c r="I176" i="8"/>
  <c r="H176" i="8" s="1"/>
  <c r="I66" i="8"/>
  <c r="H66" i="8" s="1"/>
  <c r="I196" i="8"/>
  <c r="H196" i="8" s="1"/>
  <c r="I136" i="8"/>
  <c r="H136" i="8" s="1"/>
  <c r="I166" i="8"/>
  <c r="H166" i="8" s="1"/>
  <c r="I206" i="8"/>
  <c r="H206" i="8" s="1"/>
  <c r="I236" i="8"/>
  <c r="H236" i="8" s="1"/>
  <c r="I56" i="8"/>
  <c r="H56" i="8" s="1"/>
  <c r="I116" i="8"/>
  <c r="H116" i="8" s="1"/>
  <c r="I156" i="8"/>
  <c r="H156" i="8" s="1"/>
  <c r="I186" i="8"/>
  <c r="H186" i="8" s="1"/>
  <c r="I216" i="8"/>
  <c r="H216" i="8" s="1"/>
  <c r="I86" i="8"/>
  <c r="H86" i="8" s="1"/>
  <c r="I61" i="7"/>
  <c r="I121" i="7"/>
  <c r="I191" i="7"/>
  <c r="I201" i="7"/>
  <c r="I51" i="7"/>
  <c r="I111" i="7"/>
  <c r="I101" i="7"/>
  <c r="I211" i="7"/>
  <c r="I221" i="7"/>
  <c r="I41" i="7"/>
  <c r="I71" i="7"/>
  <c r="I141" i="7"/>
  <c r="I151" i="7"/>
  <c r="I161" i="7"/>
  <c r="I91" i="7"/>
  <c r="I81" i="7"/>
  <c r="I131" i="7"/>
  <c r="I171" i="7"/>
  <c r="I181" i="7"/>
  <c r="I231" i="7"/>
  <c r="D79" i="7" a="1"/>
  <c r="G191" i="7"/>
  <c r="I88" i="8"/>
  <c r="H88" i="8" s="1"/>
  <c r="I68" i="8"/>
  <c r="H68" i="8" s="1"/>
  <c r="I188" i="8"/>
  <c r="H188" i="8" s="1"/>
  <c r="I108" i="8"/>
  <c r="H108" i="8" s="1"/>
  <c r="I58" i="8"/>
  <c r="H58" i="8" s="1"/>
  <c r="I208" i="8"/>
  <c r="H208" i="8" s="1"/>
  <c r="I48" i="8"/>
  <c r="H48" i="8" s="1"/>
  <c r="I138" i="8"/>
  <c r="H138" i="8" s="1"/>
  <c r="I228" i="8"/>
  <c r="H228" i="8" s="1"/>
  <c r="I98" i="8"/>
  <c r="H98" i="8" s="1"/>
  <c r="I158" i="8"/>
  <c r="H158" i="8" s="1"/>
  <c r="I218" i="8"/>
  <c r="H218" i="8" s="1"/>
  <c r="I128" i="8"/>
  <c r="H128" i="8" s="1"/>
  <c r="I78" i="8"/>
  <c r="H78" i="8" s="1"/>
  <c r="I168" i="8"/>
  <c r="H168" i="8" s="1"/>
  <c r="I198" i="8"/>
  <c r="H198" i="8" s="1"/>
  <c r="I118" i="8"/>
  <c r="H118" i="8" s="1"/>
  <c r="I238" i="8"/>
  <c r="H238" i="8" s="1"/>
  <c r="I148" i="8"/>
  <c r="H148" i="8" s="1"/>
  <c r="I178" i="8"/>
  <c r="H178" i="8" s="1"/>
  <c r="H71" i="7"/>
  <c r="H231" i="7"/>
  <c r="J231" i="7"/>
  <c r="I186" i="10"/>
  <c r="H186" i="10" s="1"/>
  <c r="I176" i="10"/>
  <c r="H176" i="10" s="1"/>
  <c r="I236" i="10"/>
  <c r="H236" i="10" s="1"/>
  <c r="I166" i="10"/>
  <c r="H166" i="10" s="1"/>
  <c r="I226" i="10"/>
  <c r="H226" i="10" s="1"/>
  <c r="I206" i="10"/>
  <c r="H206" i="10" s="1"/>
  <c r="I216" i="10"/>
  <c r="H216" i="10" s="1"/>
  <c r="I116" i="10"/>
  <c r="H116" i="10" s="1"/>
  <c r="I136" i="10"/>
  <c r="H136" i="10" s="1"/>
  <c r="I146" i="10"/>
  <c r="H146" i="10" s="1"/>
  <c r="I196" i="10"/>
  <c r="H196" i="10" s="1"/>
  <c r="I106" i="10"/>
  <c r="H106" i="10" s="1"/>
  <c r="I126" i="10"/>
  <c r="H126" i="10" s="1"/>
  <c r="I156" i="10"/>
  <c r="H156" i="10" s="1"/>
  <c r="I46" i="10"/>
  <c r="H46" i="10" s="1"/>
  <c r="I86" i="10"/>
  <c r="H86" i="10" s="1"/>
  <c r="I56" i="10"/>
  <c r="H56" i="10" s="1"/>
  <c r="I76" i="10"/>
  <c r="H76" i="10" s="1"/>
  <c r="I66" i="10"/>
  <c r="H66" i="10" s="1"/>
  <c r="I96" i="10"/>
  <c r="H96" i="10" s="1"/>
  <c r="D9" i="5" a="1"/>
  <c r="D10" i="5" a="1"/>
  <c r="G115" i="7"/>
  <c r="G205" i="7"/>
  <c r="G185" i="7"/>
  <c r="G235" i="7"/>
  <c r="G75" i="7"/>
  <c r="G105" i="7"/>
  <c r="G145" i="7"/>
  <c r="T124" i="10"/>
  <c r="T84" i="10"/>
  <c r="G8" i="5"/>
  <c r="G8" i="6"/>
  <c r="T34" i="10"/>
  <c r="T34" i="8"/>
  <c r="G35" i="7"/>
  <c r="G10" i="9"/>
  <c r="G14" i="9" s="1"/>
  <c r="T94" i="10"/>
  <c r="G65" i="7"/>
  <c r="T194" i="8"/>
  <c r="T74" i="10"/>
  <c r="G125" i="7"/>
  <c r="G85" i="7"/>
  <c r="G215" i="7"/>
  <c r="T174" i="8"/>
  <c r="T204" i="10"/>
  <c r="T104" i="10"/>
  <c r="T54" i="10"/>
  <c r="T184" i="8"/>
  <c r="T214" i="10"/>
  <c r="T174" i="10"/>
  <c r="T134" i="10"/>
  <c r="T144" i="10"/>
  <c r="T164" i="8"/>
  <c r="T154" i="8"/>
  <c r="T124" i="8"/>
  <c r="T44" i="8"/>
  <c r="G165" i="7"/>
  <c r="T44" i="10"/>
  <c r="T144" i="8"/>
  <c r="T84" i="8"/>
  <c r="T164" i="10"/>
  <c r="T64" i="10"/>
  <c r="T54" i="8"/>
  <c r="G195" i="7"/>
  <c r="T114" i="10"/>
  <c r="T214" i="8"/>
  <c r="T114" i="8"/>
  <c r="G155" i="7"/>
  <c r="G95" i="7"/>
  <c r="T184" i="10"/>
  <c r="T134" i="8"/>
  <c r="G55" i="7"/>
  <c r="T194" i="10"/>
  <c r="T204" i="8"/>
  <c r="T104" i="8"/>
  <c r="T74" i="8"/>
  <c r="T94" i="8"/>
  <c r="T64" i="8"/>
  <c r="T154" i="10"/>
  <c r="G45" i="7"/>
  <c r="G225" i="7"/>
  <c r="T224" i="10"/>
  <c r="T224" i="8"/>
  <c r="G175" i="7"/>
  <c r="T234" i="10"/>
  <c r="T234" i="8"/>
  <c r="G135" i="7"/>
  <c r="D129" i="7" a="1"/>
  <c r="V31" i="8"/>
  <c r="W31" i="8"/>
  <c r="G141" i="7"/>
  <c r="I228" i="10"/>
  <c r="H228" i="10" s="1"/>
  <c r="I188" i="10"/>
  <c r="H188" i="10" s="1"/>
  <c r="I208" i="10"/>
  <c r="H208" i="10" s="1"/>
  <c r="I238" i="10"/>
  <c r="H238" i="10" s="1"/>
  <c r="I178" i="10"/>
  <c r="H178" i="10" s="1"/>
  <c r="I168" i="10"/>
  <c r="H168" i="10" s="1"/>
  <c r="I198" i="10"/>
  <c r="H198" i="10" s="1"/>
  <c r="I218" i="10"/>
  <c r="H218" i="10" s="1"/>
  <c r="I138" i="10"/>
  <c r="H138" i="10" s="1"/>
  <c r="I128" i="10"/>
  <c r="H128" i="10" s="1"/>
  <c r="I118" i="10"/>
  <c r="H118" i="10" s="1"/>
  <c r="I108" i="10"/>
  <c r="H108" i="10" s="1"/>
  <c r="I48" i="10"/>
  <c r="H48" i="10" s="1"/>
  <c r="I158" i="10"/>
  <c r="H158" i="10" s="1"/>
  <c r="I68" i="10"/>
  <c r="H68" i="10" s="1"/>
  <c r="I148" i="10"/>
  <c r="H148" i="10" s="1"/>
  <c r="I58" i="10"/>
  <c r="H58" i="10" s="1"/>
  <c r="I78" i="10"/>
  <c r="H78" i="10" s="1"/>
  <c r="I88" i="10"/>
  <c r="H88" i="10" s="1"/>
  <c r="I98" i="10"/>
  <c r="H98" i="10" s="1"/>
  <c r="H61" i="7"/>
  <c r="H131" i="7"/>
  <c r="J131" i="7"/>
  <c r="AA14" i="8"/>
  <c r="AK14" i="8"/>
  <c r="D10" i="6" a="1"/>
  <c r="AK8" i="8"/>
  <c r="AA8" i="8"/>
  <c r="E10" i="5" a="1"/>
  <c r="E9" i="5" a="1"/>
  <c r="K41" i="7"/>
  <c r="K71" i="7"/>
  <c r="K91" i="7"/>
  <c r="K61" i="7"/>
  <c r="K121" i="7"/>
  <c r="K191" i="7"/>
  <c r="K201" i="7"/>
  <c r="K51" i="7"/>
  <c r="K101" i="7"/>
  <c r="K231" i="7"/>
  <c r="K221" i="7"/>
  <c r="K111" i="7"/>
  <c r="K141" i="7"/>
  <c r="K151" i="7"/>
  <c r="K161" i="7"/>
  <c r="K81" i="7"/>
  <c r="K131" i="7"/>
  <c r="K211" i="7"/>
  <c r="K171" i="7"/>
  <c r="K181" i="7"/>
  <c r="I44" i="8"/>
  <c r="H44" i="8" s="1"/>
  <c r="I144" i="8"/>
  <c r="H144" i="8" s="1"/>
  <c r="I54" i="8"/>
  <c r="H54" i="8" s="1"/>
  <c r="I184" i="8"/>
  <c r="H184" i="8" s="1"/>
  <c r="I164" i="8"/>
  <c r="H164" i="8" s="1"/>
  <c r="I214" i="8"/>
  <c r="H214" i="8" s="1"/>
  <c r="I114" i="8"/>
  <c r="H114" i="8" s="1"/>
  <c r="I124" i="8"/>
  <c r="H124" i="8" s="1"/>
  <c r="I154" i="8"/>
  <c r="H154" i="8" s="1"/>
  <c r="I94" i="8"/>
  <c r="H94" i="8" s="1"/>
  <c r="I194" i="8"/>
  <c r="H194" i="8" s="1"/>
  <c r="I84" i="8"/>
  <c r="H84" i="8" s="1"/>
  <c r="I74" i="8"/>
  <c r="H74" i="8" s="1"/>
  <c r="I234" i="8"/>
  <c r="H234" i="8" s="1"/>
  <c r="I104" i="8"/>
  <c r="H104" i="8" s="1"/>
  <c r="I134" i="8"/>
  <c r="H134" i="8" s="1"/>
  <c r="I64" i="8"/>
  <c r="H64" i="8" s="1"/>
  <c r="I204" i="8"/>
  <c r="H204" i="8" s="1"/>
  <c r="I174" i="8"/>
  <c r="H174" i="8" s="1"/>
  <c r="I224" i="8"/>
  <c r="H224" i="8" s="1"/>
  <c r="I115" i="8"/>
  <c r="H115" i="8" s="1"/>
  <c r="G121" i="7"/>
  <c r="G71" i="7"/>
  <c r="H121" i="7"/>
  <c r="H211" i="7"/>
  <c r="J181" i="7"/>
  <c r="J211" i="7"/>
  <c r="C231" i="7"/>
  <c r="C221" i="7"/>
  <c r="C81" i="7"/>
  <c r="C41" i="7"/>
  <c r="C91" i="7"/>
  <c r="C141" i="7"/>
  <c r="C191" i="7"/>
  <c r="C201" i="7"/>
  <c r="C51" i="7"/>
  <c r="C111" i="7"/>
  <c r="C211" i="7"/>
  <c r="C131" i="7"/>
  <c r="C171" i="7"/>
  <c r="C181" i="7"/>
  <c r="C101" i="7"/>
  <c r="C121" i="7"/>
  <c r="C61" i="7"/>
  <c r="C71" i="7"/>
  <c r="C151" i="7"/>
  <c r="C161" i="7"/>
  <c r="I224" i="10"/>
  <c r="H224" i="10" s="1"/>
  <c r="I164" i="10"/>
  <c r="H164" i="10" s="1"/>
  <c r="I184" i="10"/>
  <c r="H184" i="10" s="1"/>
  <c r="I204" i="10"/>
  <c r="H204" i="10" s="1"/>
  <c r="I174" i="10"/>
  <c r="H174" i="10" s="1"/>
  <c r="I114" i="10"/>
  <c r="H114" i="10" s="1"/>
  <c r="I194" i="10"/>
  <c r="H194" i="10" s="1"/>
  <c r="I234" i="10"/>
  <c r="H234" i="10" s="1"/>
  <c r="I134" i="10"/>
  <c r="H134" i="10" s="1"/>
  <c r="I214" i="10"/>
  <c r="H214" i="10" s="1"/>
  <c r="I104" i="10"/>
  <c r="H104" i="10" s="1"/>
  <c r="I124" i="10"/>
  <c r="H124" i="10" s="1"/>
  <c r="I54" i="10"/>
  <c r="H54" i="10" s="1"/>
  <c r="I74" i="10"/>
  <c r="H74" i="10" s="1"/>
  <c r="I154" i="10"/>
  <c r="H154" i="10" s="1"/>
  <c r="I44" i="10"/>
  <c r="H44" i="10" s="1"/>
  <c r="I84" i="10"/>
  <c r="H84" i="10" s="1"/>
  <c r="I144" i="10"/>
  <c r="H144" i="10" s="1"/>
  <c r="I64" i="10"/>
  <c r="H64" i="10" s="1"/>
  <c r="I94" i="10"/>
  <c r="H94" i="10" s="1"/>
  <c r="D89" i="7" a="1"/>
  <c r="V31" i="10"/>
  <c r="W31" i="10"/>
  <c r="G181" i="7"/>
  <c r="H181" i="7"/>
  <c r="H101" i="7"/>
  <c r="J171" i="7"/>
  <c r="J111" i="7"/>
  <c r="G15" i="9"/>
  <c r="G36" i="7"/>
  <c r="G13" i="6"/>
  <c r="G12" i="5"/>
  <c r="N34" i="8"/>
  <c r="N34" i="10"/>
  <c r="D231" i="7"/>
  <c r="D221" i="7"/>
  <c r="D41" i="7"/>
  <c r="D71" i="7"/>
  <c r="D191" i="7"/>
  <c r="D201" i="7"/>
  <c r="D211" i="7"/>
  <c r="D91" i="7"/>
  <c r="D81" i="7"/>
  <c r="D131" i="7"/>
  <c r="D171" i="7"/>
  <c r="D181" i="7"/>
  <c r="D51" i="7"/>
  <c r="D101" i="7"/>
  <c r="D121" i="7"/>
  <c r="D141" i="7"/>
  <c r="D61" i="7"/>
  <c r="D111" i="7"/>
  <c r="D151" i="7"/>
  <c r="D161" i="7"/>
  <c r="X30" i="8"/>
  <c r="I195" i="8"/>
  <c r="H195" i="8" s="1"/>
  <c r="D169" i="7" a="1"/>
  <c r="D39" i="7"/>
  <c r="G171" i="7"/>
  <c r="G231" i="7"/>
  <c r="H171" i="7"/>
  <c r="H111" i="7"/>
  <c r="C11" i="5"/>
  <c r="C27" i="5" s="1"/>
  <c r="I50" i="8"/>
  <c r="Q50" i="8" s="1"/>
  <c r="R50" i="8" s="1"/>
  <c r="I80" i="8"/>
  <c r="Q80" i="8" s="1"/>
  <c r="R80" i="8" s="1"/>
  <c r="I150" i="8"/>
  <c r="Q150" i="8" s="1"/>
  <c r="R150" i="8" s="1"/>
  <c r="I40" i="8"/>
  <c r="I190" i="8"/>
  <c r="Q190" i="8" s="1"/>
  <c r="R190" i="8" s="1"/>
  <c r="I170" i="8"/>
  <c r="Q170" i="8" s="1"/>
  <c r="R170" i="8" s="1"/>
  <c r="I90" i="8"/>
  <c r="Q90" i="8" s="1"/>
  <c r="R90" i="8" s="1"/>
  <c r="I100" i="8"/>
  <c r="Q100" i="8" s="1"/>
  <c r="R100" i="8" s="1"/>
  <c r="I220" i="8"/>
  <c r="Q220" i="8" s="1"/>
  <c r="R220" i="8" s="1"/>
  <c r="I110" i="8"/>
  <c r="Q110" i="8" s="1"/>
  <c r="R110" i="8" s="1"/>
  <c r="I140" i="8"/>
  <c r="Q140" i="8" s="1"/>
  <c r="R140" i="8" s="1"/>
  <c r="I180" i="8"/>
  <c r="I210" i="8"/>
  <c r="Q210" i="8" s="1"/>
  <c r="R210" i="8" s="1"/>
  <c r="I120" i="8"/>
  <c r="Q120" i="8" s="1"/>
  <c r="R120" i="8" s="1"/>
  <c r="I230" i="8"/>
  <c r="Q230" i="8" s="1"/>
  <c r="R230" i="8" s="1"/>
  <c r="I130" i="8"/>
  <c r="Q130" i="8" s="1"/>
  <c r="R130" i="8" s="1"/>
  <c r="I160" i="8"/>
  <c r="Q160" i="8" s="1"/>
  <c r="R160" i="8" s="1"/>
  <c r="I200" i="8"/>
  <c r="Q200" i="8" s="1"/>
  <c r="R200" i="8" s="1"/>
  <c r="I70" i="8"/>
  <c r="Q70" i="8" s="1"/>
  <c r="R70" i="8" s="1"/>
  <c r="I60" i="8"/>
  <c r="Q60" i="8" s="1"/>
  <c r="R60" i="8" s="1"/>
  <c r="I109" i="8"/>
  <c r="H109" i="8" s="1"/>
  <c r="I229" i="8"/>
  <c r="H229" i="8" s="1"/>
  <c r="I149" i="8"/>
  <c r="H149" i="8" s="1"/>
  <c r="I79" i="8"/>
  <c r="H79" i="8" s="1"/>
  <c r="I129" i="8"/>
  <c r="H129" i="8" s="1"/>
  <c r="I69" i="8"/>
  <c r="H69" i="8" s="1"/>
  <c r="I179" i="8"/>
  <c r="H179" i="8" s="1"/>
  <c r="I49" i="8"/>
  <c r="H49" i="8" s="1"/>
  <c r="I119" i="8"/>
  <c r="H119" i="8" s="1"/>
  <c r="I239" i="8"/>
  <c r="H239" i="8" s="1"/>
  <c r="I159" i="8"/>
  <c r="H159" i="8" s="1"/>
  <c r="I189" i="8"/>
  <c r="H189" i="8" s="1"/>
  <c r="I89" i="8"/>
  <c r="H89" i="8" s="1"/>
  <c r="I99" i="8"/>
  <c r="H99" i="8" s="1"/>
  <c r="I219" i="8"/>
  <c r="H219" i="8" s="1"/>
  <c r="I59" i="8"/>
  <c r="H59" i="8" s="1"/>
  <c r="I199" i="8"/>
  <c r="H199" i="8" s="1"/>
  <c r="I139" i="8"/>
  <c r="H139" i="8" s="1"/>
  <c r="I169" i="8"/>
  <c r="H169" i="8" s="1"/>
  <c r="I209" i="8"/>
  <c r="H209" i="8" s="1"/>
  <c r="L81" i="7"/>
  <c r="L41" i="7"/>
  <c r="L71" i="7"/>
  <c r="L91" i="7"/>
  <c r="L61" i="7"/>
  <c r="L121" i="7"/>
  <c r="L191" i="7"/>
  <c r="L201" i="7"/>
  <c r="L51" i="7"/>
  <c r="L111" i="7"/>
  <c r="L211" i="7"/>
  <c r="L221" i="7"/>
  <c r="L231" i="7"/>
  <c r="L171" i="7"/>
  <c r="L181" i="7"/>
  <c r="L141" i="7"/>
  <c r="L151" i="7"/>
  <c r="L161" i="7"/>
  <c r="L101" i="7"/>
  <c r="L131" i="7"/>
  <c r="D139" i="7" a="1"/>
  <c r="D99" i="7" a="1"/>
  <c r="G131" i="7"/>
  <c r="G211" i="7"/>
  <c r="H91" i="7"/>
  <c r="J221" i="7"/>
  <c r="J201" i="7"/>
  <c r="D189" i="7" a="1"/>
  <c r="D219" i="7" a="1"/>
  <c r="I223" i="10"/>
  <c r="H223" i="10" s="1"/>
  <c r="I233" i="10"/>
  <c r="H233" i="10" s="1"/>
  <c r="I183" i="10"/>
  <c r="H183" i="10" s="1"/>
  <c r="I173" i="10"/>
  <c r="H173" i="10" s="1"/>
  <c r="I203" i="10"/>
  <c r="H203" i="10" s="1"/>
  <c r="I193" i="10"/>
  <c r="H193" i="10" s="1"/>
  <c r="I163" i="10"/>
  <c r="H163" i="10" s="1"/>
  <c r="I123" i="10"/>
  <c r="H123" i="10" s="1"/>
  <c r="I153" i="10"/>
  <c r="H153" i="10" s="1"/>
  <c r="I213" i="10"/>
  <c r="H213" i="10" s="1"/>
  <c r="I143" i="10"/>
  <c r="H143" i="10" s="1"/>
  <c r="I103" i="10"/>
  <c r="H103" i="10" s="1"/>
  <c r="I113" i="10"/>
  <c r="H113" i="10" s="1"/>
  <c r="I133" i="10"/>
  <c r="H133" i="10" s="1"/>
  <c r="I63" i="10"/>
  <c r="H63" i="10" s="1"/>
  <c r="I43" i="10"/>
  <c r="H43" i="10" s="1"/>
  <c r="I53" i="10"/>
  <c r="H53" i="10" s="1"/>
  <c r="I83" i="10"/>
  <c r="H83" i="10" s="1"/>
  <c r="I73" i="10"/>
  <c r="H73" i="10" s="1"/>
  <c r="I93" i="10"/>
  <c r="H93" i="10" s="1"/>
  <c r="F101" i="7"/>
  <c r="F211" i="7"/>
  <c r="F231" i="7"/>
  <c r="F221" i="7"/>
  <c r="F91" i="7"/>
  <c r="F191" i="7"/>
  <c r="F201" i="7"/>
  <c r="F41" i="7"/>
  <c r="F81" i="7"/>
  <c r="F131" i="7"/>
  <c r="F51" i="7"/>
  <c r="F171" i="7"/>
  <c r="F181" i="7"/>
  <c r="F121" i="7"/>
  <c r="F61" i="7"/>
  <c r="F71" i="7"/>
  <c r="F141" i="7"/>
  <c r="F111" i="7"/>
  <c r="F161" i="7"/>
  <c r="F151" i="7"/>
  <c r="H161" i="7"/>
  <c r="H201" i="7"/>
  <c r="J161" i="7"/>
  <c r="J191" i="7"/>
  <c r="I229" i="10"/>
  <c r="H229" i="10" s="1"/>
  <c r="I219" i="10"/>
  <c r="H219" i="10" s="1"/>
  <c r="I239" i="10"/>
  <c r="H239" i="10" s="1"/>
  <c r="I189" i="10"/>
  <c r="H189" i="10" s="1"/>
  <c r="I209" i="10"/>
  <c r="H209" i="10" s="1"/>
  <c r="I109" i="10"/>
  <c r="H109" i="10" s="1"/>
  <c r="I169" i="10"/>
  <c r="H169" i="10" s="1"/>
  <c r="I139" i="10"/>
  <c r="H139" i="10" s="1"/>
  <c r="I69" i="10"/>
  <c r="H69" i="10" s="1"/>
  <c r="I129" i="10"/>
  <c r="H129" i="10" s="1"/>
  <c r="I179" i="10"/>
  <c r="H179" i="10" s="1"/>
  <c r="I199" i="10"/>
  <c r="H199" i="10" s="1"/>
  <c r="I119" i="10"/>
  <c r="H119" i="10" s="1"/>
  <c r="I49" i="10"/>
  <c r="H49" i="10" s="1"/>
  <c r="I59" i="10"/>
  <c r="H59" i="10" s="1"/>
  <c r="I89" i="10"/>
  <c r="H89" i="10" s="1"/>
  <c r="I159" i="10"/>
  <c r="H159" i="10" s="1"/>
  <c r="I149" i="10"/>
  <c r="H149" i="10" s="1"/>
  <c r="I79" i="10"/>
  <c r="H79" i="10" s="1"/>
  <c r="I99" i="10"/>
  <c r="H99" i="10" s="1"/>
  <c r="I82" i="8"/>
  <c r="H82" i="8" s="1"/>
  <c r="I62" i="8"/>
  <c r="H62" i="8" s="1"/>
  <c r="I182" i="8"/>
  <c r="H182" i="8" s="1"/>
  <c r="I102" i="8"/>
  <c r="H102" i="8" s="1"/>
  <c r="I72" i="8"/>
  <c r="H72" i="8" s="1"/>
  <c r="I202" i="8"/>
  <c r="H202" i="8" s="1"/>
  <c r="I132" i="8"/>
  <c r="H132" i="8" s="1"/>
  <c r="I122" i="8"/>
  <c r="H122" i="8" s="1"/>
  <c r="I162" i="8"/>
  <c r="H162" i="8" s="1"/>
  <c r="I192" i="8"/>
  <c r="H192" i="8" s="1"/>
  <c r="I92" i="8"/>
  <c r="H92" i="8" s="1"/>
  <c r="I112" i="8"/>
  <c r="H112" i="8" s="1"/>
  <c r="I222" i="8"/>
  <c r="H222" i="8" s="1"/>
  <c r="I52" i="8"/>
  <c r="H52" i="8" s="1"/>
  <c r="I142" i="8"/>
  <c r="H142" i="8" s="1"/>
  <c r="I172" i="8"/>
  <c r="H172" i="8" s="1"/>
  <c r="I212" i="8"/>
  <c r="H212" i="8" s="1"/>
  <c r="I42" i="8"/>
  <c r="H42" i="8" s="1"/>
  <c r="I152" i="8"/>
  <c r="H152" i="8" s="1"/>
  <c r="I232" i="8"/>
  <c r="H232" i="8" s="1"/>
  <c r="E65" i="7"/>
  <c r="E95" i="7"/>
  <c r="E205" i="7"/>
  <c r="E215" i="7"/>
  <c r="E135" i="7"/>
  <c r="E165" i="7"/>
  <c r="E105" i="7"/>
  <c r="E175" i="7"/>
  <c r="T62" i="10"/>
  <c r="E8" i="6"/>
  <c r="E35" i="7"/>
  <c r="T32" i="8"/>
  <c r="E10" i="9"/>
  <c r="E14" i="9" s="1"/>
  <c r="T32" i="10"/>
  <c r="E8" i="5"/>
  <c r="E155" i="7"/>
  <c r="E185" i="7"/>
  <c r="T52" i="10"/>
  <c r="T72" i="10"/>
  <c r="E125" i="7"/>
  <c r="E45" i="7"/>
  <c r="T132" i="10"/>
  <c r="E75" i="7"/>
  <c r="T222" i="8"/>
  <c r="T122" i="8"/>
  <c r="T62" i="8"/>
  <c r="T72" i="8"/>
  <c r="E195" i="7"/>
  <c r="T232" i="10"/>
  <c r="T202" i="10"/>
  <c r="T42" i="8"/>
  <c r="T82" i="10"/>
  <c r="T142" i="8"/>
  <c r="T92" i="8"/>
  <c r="T92" i="10"/>
  <c r="E235" i="7"/>
  <c r="E115" i="7"/>
  <c r="T232" i="8"/>
  <c r="T172" i="8"/>
  <c r="T212" i="8"/>
  <c r="T112" i="8"/>
  <c r="E55" i="7"/>
  <c r="T182" i="10"/>
  <c r="T142" i="10"/>
  <c r="T182" i="8"/>
  <c r="T152" i="8"/>
  <c r="T52" i="8"/>
  <c r="E85" i="7"/>
  <c r="T212" i="10"/>
  <c r="T222" i="10"/>
  <c r="E145" i="7"/>
  <c r="T172" i="10"/>
  <c r="T112" i="10"/>
  <c r="T202" i="8"/>
  <c r="T132" i="8"/>
  <c r="E225" i="7"/>
  <c r="T192" i="10"/>
  <c r="T162" i="10"/>
  <c r="T122" i="10"/>
  <c r="T152" i="10"/>
  <c r="T42" i="10"/>
  <c r="T192" i="8"/>
  <c r="T162" i="8"/>
  <c r="T102" i="10"/>
  <c r="T102" i="8"/>
  <c r="T82" i="8"/>
  <c r="I220" i="10"/>
  <c r="Q220" i="10" s="1"/>
  <c r="R220" i="10" s="1"/>
  <c r="I170" i="10"/>
  <c r="Q170" i="10" s="1"/>
  <c r="R170" i="10" s="1"/>
  <c r="I180" i="10"/>
  <c r="Q180" i="10" s="1"/>
  <c r="R180" i="10" s="1"/>
  <c r="I100" i="10"/>
  <c r="Q100" i="10" s="1"/>
  <c r="R100" i="10" s="1"/>
  <c r="I230" i="10"/>
  <c r="Q230" i="10" s="1"/>
  <c r="R230" i="10" s="1"/>
  <c r="I160" i="10"/>
  <c r="Q160" i="10" s="1"/>
  <c r="R160" i="10" s="1"/>
  <c r="I200" i="10"/>
  <c r="I190" i="10"/>
  <c r="Q190" i="10" s="1"/>
  <c r="R190" i="10" s="1"/>
  <c r="I110" i="10"/>
  <c r="Q110" i="10" s="1"/>
  <c r="R110" i="10" s="1"/>
  <c r="I120" i="10"/>
  <c r="Q120" i="10" s="1"/>
  <c r="R120" i="10" s="1"/>
  <c r="I140" i="10"/>
  <c r="I210" i="10"/>
  <c r="Q210" i="10" s="1"/>
  <c r="R210" i="10" s="1"/>
  <c r="I130" i="10"/>
  <c r="I40" i="10"/>
  <c r="I50" i="10"/>
  <c r="Q50" i="10" s="1"/>
  <c r="R50" i="10" s="1"/>
  <c r="I150" i="10"/>
  <c r="Q150" i="10" s="1"/>
  <c r="R150" i="10" s="1"/>
  <c r="I60" i="10"/>
  <c r="Q60" i="10" s="1"/>
  <c r="R60" i="10" s="1"/>
  <c r="I80" i="10"/>
  <c r="Q80" i="10" s="1"/>
  <c r="R80" i="10" s="1"/>
  <c r="I70" i="10"/>
  <c r="Q70" i="10" s="1"/>
  <c r="R70" i="10" s="1"/>
  <c r="I90" i="10"/>
  <c r="H90" i="10" s="1"/>
  <c r="G221" i="7"/>
  <c r="G111" i="7"/>
  <c r="H151" i="7"/>
  <c r="H191" i="7"/>
  <c r="J151" i="7"/>
  <c r="D59" i="7" a="1"/>
  <c r="D209" i="7" a="1"/>
  <c r="I103" i="8"/>
  <c r="H103" i="8" s="1"/>
  <c r="I223" i="8"/>
  <c r="H223" i="8" s="1"/>
  <c r="I53" i="8"/>
  <c r="H53" i="8" s="1"/>
  <c r="I143" i="8"/>
  <c r="H143" i="8" s="1"/>
  <c r="I93" i="8"/>
  <c r="H93" i="8" s="1"/>
  <c r="I123" i="8"/>
  <c r="H123" i="8" s="1"/>
  <c r="I83" i="8"/>
  <c r="H83" i="8" s="1"/>
  <c r="I173" i="8"/>
  <c r="H173" i="8" s="1"/>
  <c r="I153" i="8"/>
  <c r="H153" i="8" s="1"/>
  <c r="I183" i="8"/>
  <c r="H183" i="8" s="1"/>
  <c r="I213" i="8"/>
  <c r="H213" i="8" s="1"/>
  <c r="I43" i="8"/>
  <c r="H43" i="8" s="1"/>
  <c r="I233" i="8"/>
  <c r="H233" i="8" s="1"/>
  <c r="I193" i="8"/>
  <c r="H193" i="8" s="1"/>
  <c r="I73" i="8"/>
  <c r="H73" i="8" s="1"/>
  <c r="I133" i="8"/>
  <c r="H133" i="8" s="1"/>
  <c r="I163" i="8"/>
  <c r="H163" i="8" s="1"/>
  <c r="I63" i="8"/>
  <c r="H63" i="8" s="1"/>
  <c r="I203" i="8"/>
  <c r="H203" i="8" s="1"/>
  <c r="I113" i="8"/>
  <c r="H113" i="8" s="1"/>
  <c r="I222" i="10"/>
  <c r="H222" i="10" s="1"/>
  <c r="I232" i="10"/>
  <c r="H232" i="10" s="1"/>
  <c r="I172" i="10"/>
  <c r="H172" i="10" s="1"/>
  <c r="I192" i="10"/>
  <c r="H192" i="10" s="1"/>
  <c r="I202" i="10"/>
  <c r="H202" i="10" s="1"/>
  <c r="I162" i="10"/>
  <c r="H162" i="10" s="1"/>
  <c r="I182" i="10"/>
  <c r="H182" i="10" s="1"/>
  <c r="I122" i="10"/>
  <c r="H122" i="10" s="1"/>
  <c r="I142" i="10"/>
  <c r="H142" i="10" s="1"/>
  <c r="I112" i="10"/>
  <c r="H112" i="10" s="1"/>
  <c r="I132" i="10"/>
  <c r="H132" i="10" s="1"/>
  <c r="I212" i="10"/>
  <c r="H212" i="10" s="1"/>
  <c r="I102" i="10"/>
  <c r="H102" i="10" s="1"/>
  <c r="I152" i="10"/>
  <c r="H152" i="10" s="1"/>
  <c r="I42" i="10"/>
  <c r="H42" i="10" s="1"/>
  <c r="I72" i="10"/>
  <c r="H72" i="10" s="1"/>
  <c r="I52" i="10"/>
  <c r="H52" i="10" s="1"/>
  <c r="I62" i="10"/>
  <c r="H62" i="10" s="1"/>
  <c r="I82" i="10"/>
  <c r="H82" i="10" s="1"/>
  <c r="I92" i="10"/>
  <c r="H92" i="10" s="1"/>
  <c r="E211" i="7"/>
  <c r="E231" i="7"/>
  <c r="E221" i="7"/>
  <c r="E81" i="7"/>
  <c r="E61" i="7"/>
  <c r="E121" i="7"/>
  <c r="E51" i="7"/>
  <c r="E201" i="7"/>
  <c r="E91" i="7"/>
  <c r="E131" i="7"/>
  <c r="E171" i="7"/>
  <c r="E181" i="7"/>
  <c r="E101" i="7"/>
  <c r="E71" i="7"/>
  <c r="E141" i="7"/>
  <c r="E191" i="7"/>
  <c r="E111" i="7"/>
  <c r="E151" i="7"/>
  <c r="E161" i="7"/>
  <c r="E41" i="7"/>
  <c r="I161" i="10"/>
  <c r="H161" i="10" s="1"/>
  <c r="I221" i="10"/>
  <c r="H221" i="10" s="1"/>
  <c r="I211" i="10"/>
  <c r="H211" i="10" s="1"/>
  <c r="I231" i="10"/>
  <c r="H231" i="10" s="1"/>
  <c r="I181" i="10"/>
  <c r="H181" i="10" s="1"/>
  <c r="I171" i="10"/>
  <c r="H171" i="10" s="1"/>
  <c r="I201" i="10"/>
  <c r="H201" i="10" s="1"/>
  <c r="I141" i="10"/>
  <c r="H141" i="10" s="1"/>
  <c r="I131" i="10"/>
  <c r="H131" i="10" s="1"/>
  <c r="I111" i="10"/>
  <c r="H111" i="10" s="1"/>
  <c r="I101" i="10"/>
  <c r="H101" i="10" s="1"/>
  <c r="I151" i="10"/>
  <c r="H151" i="10" s="1"/>
  <c r="I121" i="10"/>
  <c r="H121" i="10" s="1"/>
  <c r="I191" i="10"/>
  <c r="H191" i="10" s="1"/>
  <c r="I71" i="10"/>
  <c r="H71" i="10" s="1"/>
  <c r="I41" i="10"/>
  <c r="H41" i="10" s="1"/>
  <c r="I51" i="10"/>
  <c r="H51" i="10" s="1"/>
  <c r="I61" i="10"/>
  <c r="H61" i="10" s="1"/>
  <c r="I81" i="10"/>
  <c r="H81" i="10" s="1"/>
  <c r="I91" i="10"/>
  <c r="H91" i="10" s="1"/>
  <c r="D119" i="7" a="1"/>
  <c r="H141" i="7"/>
  <c r="O223" i="10"/>
  <c r="O233" i="10"/>
  <c r="O183" i="10"/>
  <c r="O203" i="10"/>
  <c r="O103" i="10"/>
  <c r="O173" i="10"/>
  <c r="O193" i="10"/>
  <c r="O163" i="10"/>
  <c r="O113" i="10"/>
  <c r="O133" i="10"/>
  <c r="O213" i="10"/>
  <c r="O123" i="10"/>
  <c r="O143" i="10"/>
  <c r="O73" i="10"/>
  <c r="O53" i="10"/>
  <c r="O153" i="10"/>
  <c r="O43" i="10"/>
  <c r="O63" i="10"/>
  <c r="O83" i="10"/>
  <c r="O163" i="8"/>
  <c r="O93" i="10"/>
  <c r="O223" i="8"/>
  <c r="O233" i="8"/>
  <c r="O173" i="8"/>
  <c r="O113" i="8"/>
  <c r="O133" i="8"/>
  <c r="O103" i="8"/>
  <c r="O63" i="8"/>
  <c r="O203" i="8"/>
  <c r="O153" i="8"/>
  <c r="O183" i="8"/>
  <c r="O193" i="8"/>
  <c r="O143" i="8"/>
  <c r="O213" i="8"/>
  <c r="O123" i="8"/>
  <c r="O93" i="8"/>
  <c r="O53" i="8"/>
  <c r="O43" i="8"/>
  <c r="O73" i="8"/>
  <c r="O83" i="8"/>
  <c r="F19" i="6"/>
  <c r="O33" i="8"/>
  <c r="O33" i="10"/>
  <c r="F18" i="5"/>
  <c r="F21" i="9"/>
  <c r="F37" i="7"/>
  <c r="I177" i="8"/>
  <c r="H177" i="8" s="1"/>
  <c r="I41" i="8"/>
  <c r="H41" i="8" s="1"/>
  <c r="I141" i="8"/>
  <c r="H141" i="8" s="1"/>
  <c r="I181" i="8"/>
  <c r="H181" i="8" s="1"/>
  <c r="I51" i="8"/>
  <c r="H51" i="8" s="1"/>
  <c r="I161" i="8"/>
  <c r="H161" i="8" s="1"/>
  <c r="I211" i="8"/>
  <c r="H211" i="8" s="1"/>
  <c r="I81" i="8"/>
  <c r="H81" i="8" s="1"/>
  <c r="I71" i="8"/>
  <c r="I101" i="8"/>
  <c r="I131" i="8"/>
  <c r="I201" i="8"/>
  <c r="I221" i="8"/>
  <c r="H221" i="8" s="1"/>
  <c r="I61" i="8"/>
  <c r="H61" i="8" s="1"/>
  <c r="I171" i="8"/>
  <c r="H171" i="8" s="1"/>
  <c r="I111" i="8"/>
  <c r="I121" i="8"/>
  <c r="H121" i="8" s="1"/>
  <c r="I151" i="8"/>
  <c r="I191" i="8"/>
  <c r="H191" i="8" s="1"/>
  <c r="I231" i="8"/>
  <c r="H231" i="8" s="1"/>
  <c r="I91" i="8"/>
  <c r="H91" i="8" s="1"/>
  <c r="D38" i="7"/>
  <c r="AA18" i="10"/>
  <c r="AK18" i="10"/>
  <c r="AB23" i="10"/>
  <c r="AL23" i="10"/>
  <c r="AK13" i="8"/>
  <c r="AA13" i="8"/>
  <c r="AB22" i="8"/>
  <c r="AL22" i="8"/>
  <c r="AB12" i="8"/>
  <c r="AL12" i="8"/>
  <c r="AL11" i="7"/>
  <c r="AB11" i="7"/>
  <c r="AB9" i="7"/>
  <c r="AL9" i="7"/>
  <c r="AB19" i="7"/>
  <c r="AL19" i="7"/>
  <c r="J33" i="10"/>
  <c r="Q33" i="10" s="1"/>
  <c r="R33" i="10" s="1"/>
  <c r="U32" i="10"/>
  <c r="X30" i="10"/>
  <c r="E35" i="3"/>
  <c r="F33" i="3"/>
  <c r="F34" i="3" s="1"/>
  <c r="F35" i="3"/>
  <c r="G35" i="3"/>
  <c r="G28" i="3"/>
  <c r="E34" i="3"/>
  <c r="G31" i="3"/>
  <c r="H15" i="3"/>
  <c r="H30" i="3" s="1"/>
  <c r="F32" i="6"/>
  <c r="F33" i="6" s="1"/>
  <c r="E7" i="6"/>
  <c r="F29" i="4"/>
  <c r="J33" i="8" l="1"/>
  <c r="Q33" i="8" s="1"/>
  <c r="R33" i="8" s="1"/>
  <c r="U32" i="8"/>
  <c r="AL13" i="10"/>
  <c r="AB13" i="10"/>
  <c r="AB21" i="10"/>
  <c r="AL21" i="10"/>
  <c r="AB11" i="8"/>
  <c r="AL11" i="8"/>
  <c r="AB10" i="8"/>
  <c r="AL10" i="8"/>
  <c r="AL10" i="7"/>
  <c r="AB10" i="7"/>
  <c r="AB18" i="7"/>
  <c r="AL18" i="7"/>
  <c r="AB21" i="8"/>
  <c r="AL21" i="8"/>
  <c r="AL20" i="10"/>
  <c r="AB20" i="10"/>
  <c r="AB21" i="7"/>
  <c r="AL21" i="7"/>
  <c r="AB22" i="7"/>
  <c r="AL22" i="7"/>
  <c r="AL15" i="8"/>
  <c r="AB15" i="8"/>
  <c r="AB20" i="7"/>
  <c r="AL20" i="7"/>
  <c r="AB17" i="7"/>
  <c r="AL17" i="7"/>
  <c r="AB23" i="8"/>
  <c r="AL23" i="8"/>
  <c r="AB9" i="8"/>
  <c r="AL9" i="8"/>
  <c r="AB14" i="7"/>
  <c r="AL14" i="7"/>
  <c r="AL23" i="7"/>
  <c r="AB23" i="7"/>
  <c r="AB16" i="10"/>
  <c r="AL16" i="10"/>
  <c r="AL13" i="7"/>
  <c r="AB13" i="7"/>
  <c r="AB24" i="7"/>
  <c r="AL24" i="7"/>
  <c r="AB16" i="8"/>
  <c r="AL16" i="8"/>
  <c r="AB19" i="8"/>
  <c r="AL19" i="8"/>
  <c r="AB16" i="7"/>
  <c r="AL16" i="7"/>
  <c r="AB8" i="10"/>
  <c r="AL8" i="10"/>
  <c r="AB24" i="10"/>
  <c r="AL24" i="10"/>
  <c r="AC12" i="10"/>
  <c r="AM12" i="10"/>
  <c r="AB15" i="10"/>
  <c r="AL15" i="10"/>
  <c r="AL18" i="8"/>
  <c r="AB18" i="8"/>
  <c r="AB15" i="7"/>
  <c r="AL15" i="7"/>
  <c r="AB17" i="8"/>
  <c r="AL17" i="8"/>
  <c r="AB12" i="7"/>
  <c r="AL12" i="7"/>
  <c r="AB8" i="7"/>
  <c r="AL8" i="7"/>
  <c r="AB24" i="8"/>
  <c r="AL24" i="8"/>
  <c r="C47" i="7" a="1"/>
  <c r="AA7" i="8"/>
  <c r="AK7" i="8"/>
  <c r="AA7" i="7"/>
  <c r="AK7" i="7"/>
  <c r="AB7" i="8"/>
  <c r="AL7" i="8"/>
  <c r="AK6" i="8"/>
  <c r="AA6" i="8"/>
  <c r="L195" i="8"/>
  <c r="L165" i="8"/>
  <c r="L135" i="8"/>
  <c r="L95" i="8"/>
  <c r="L215" i="8"/>
  <c r="L185" i="8"/>
  <c r="L45" i="8"/>
  <c r="L145" i="8"/>
  <c r="L175" i="8"/>
  <c r="L115" i="8"/>
  <c r="L55" i="8"/>
  <c r="L235" i="8"/>
  <c r="L155" i="8"/>
  <c r="L65" i="8"/>
  <c r="L225" i="8"/>
  <c r="L105" i="8"/>
  <c r="L75" i="8"/>
  <c r="L125" i="8"/>
  <c r="L205" i="8"/>
  <c r="L85" i="8"/>
  <c r="L149" i="8"/>
  <c r="L69" i="8"/>
  <c r="L59" i="8"/>
  <c r="L179" i="8"/>
  <c r="L99" i="8"/>
  <c r="L89" i="8"/>
  <c r="L159" i="8"/>
  <c r="L199" i="8"/>
  <c r="L219" i="8"/>
  <c r="L169" i="8"/>
  <c r="L189" i="8"/>
  <c r="L129" i="8"/>
  <c r="L239" i="8"/>
  <c r="L119" i="8"/>
  <c r="L229" i="8"/>
  <c r="L139" i="8"/>
  <c r="L209" i="8"/>
  <c r="L109" i="8"/>
  <c r="L79" i="8"/>
  <c r="L49" i="8"/>
  <c r="L73" i="8"/>
  <c r="L213" i="8"/>
  <c r="L153" i="8"/>
  <c r="L63" i="8"/>
  <c r="L103" i="8"/>
  <c r="L233" i="8"/>
  <c r="L53" i="8"/>
  <c r="L173" i="8"/>
  <c r="L203" i="8"/>
  <c r="L123" i="8"/>
  <c r="L93" i="8"/>
  <c r="L183" i="8"/>
  <c r="L113" i="8"/>
  <c r="L143" i="8"/>
  <c r="L133" i="8"/>
  <c r="L83" i="8"/>
  <c r="L223" i="8"/>
  <c r="L193" i="8"/>
  <c r="L163" i="8"/>
  <c r="L43" i="8"/>
  <c r="L192" i="8"/>
  <c r="L82" i="8"/>
  <c r="L162" i="8"/>
  <c r="L232" i="8"/>
  <c r="L172" i="8"/>
  <c r="L62" i="8"/>
  <c r="L202" i="8"/>
  <c r="L112" i="8"/>
  <c r="L92" i="8"/>
  <c r="L52" i="8"/>
  <c r="L122" i="8"/>
  <c r="L142" i="8"/>
  <c r="L102" i="8"/>
  <c r="L182" i="8"/>
  <c r="L222" i="8"/>
  <c r="L212" i="8"/>
  <c r="L152" i="8"/>
  <c r="L132" i="8"/>
  <c r="L72" i="8"/>
  <c r="L42" i="8"/>
  <c r="L57" i="8"/>
  <c r="L67" i="8"/>
  <c r="L147" i="8"/>
  <c r="L97" i="8"/>
  <c r="L177" i="8"/>
  <c r="L217" i="8"/>
  <c r="L227" i="8"/>
  <c r="L87" i="8"/>
  <c r="L127" i="8"/>
  <c r="L157" i="8"/>
  <c r="L77" i="8"/>
  <c r="L197" i="8"/>
  <c r="L137" i="8"/>
  <c r="L167" i="8"/>
  <c r="L107" i="8"/>
  <c r="L207" i="8"/>
  <c r="L187" i="8"/>
  <c r="L237" i="8"/>
  <c r="L117" i="8"/>
  <c r="L47" i="8"/>
  <c r="L68" i="8"/>
  <c r="L158" i="8"/>
  <c r="L208" i="8"/>
  <c r="L198" i="8"/>
  <c r="L218" i="8"/>
  <c r="L188" i="8"/>
  <c r="L238" i="8"/>
  <c r="L228" i="8"/>
  <c r="L78" i="8"/>
  <c r="L48" i="8"/>
  <c r="L138" i="8"/>
  <c r="L98" i="8"/>
  <c r="L178" i="8"/>
  <c r="L108" i="8"/>
  <c r="L58" i="8"/>
  <c r="L168" i="8"/>
  <c r="L148" i="8"/>
  <c r="L118" i="8"/>
  <c r="L128" i="8"/>
  <c r="L88" i="8"/>
  <c r="L191" i="8"/>
  <c r="L151" i="8"/>
  <c r="L121" i="8"/>
  <c r="L211" i="8"/>
  <c r="L171" i="8"/>
  <c r="L141" i="8"/>
  <c r="L221" i="8"/>
  <c r="L101" i="8"/>
  <c r="L131" i="8"/>
  <c r="L81" i="8"/>
  <c r="L91" i="8"/>
  <c r="L231" i="8"/>
  <c r="L111" i="8"/>
  <c r="L181" i="8"/>
  <c r="L201" i="8"/>
  <c r="L71" i="8"/>
  <c r="L161" i="8"/>
  <c r="L51" i="8"/>
  <c r="L41" i="8"/>
  <c r="L61" i="8"/>
  <c r="L186" i="8"/>
  <c r="L156" i="8"/>
  <c r="L46" i="8"/>
  <c r="L116" i="8"/>
  <c r="L226" i="8"/>
  <c r="L176" i="8"/>
  <c r="L236" i="8"/>
  <c r="L206" i="8"/>
  <c r="L56" i="8"/>
  <c r="L136" i="8"/>
  <c r="L106" i="8"/>
  <c r="L66" i="8"/>
  <c r="L216" i="8"/>
  <c r="L76" i="8"/>
  <c r="L196" i="8"/>
  <c r="L86" i="8"/>
  <c r="L146" i="8"/>
  <c r="L96" i="8"/>
  <c r="L166" i="8"/>
  <c r="L126" i="8"/>
  <c r="L134" i="8"/>
  <c r="L144" i="8"/>
  <c r="L104" i="8"/>
  <c r="L174" i="8"/>
  <c r="L224" i="8"/>
  <c r="L214" i="8"/>
  <c r="L94" i="8"/>
  <c r="L64" i="8"/>
  <c r="L124" i="8"/>
  <c r="L154" i="8"/>
  <c r="L204" i="8"/>
  <c r="L84" i="8"/>
  <c r="L54" i="8"/>
  <c r="L234" i="8"/>
  <c r="L184" i="8"/>
  <c r="L74" i="8"/>
  <c r="L164" i="8"/>
  <c r="L194" i="8"/>
  <c r="L114" i="8"/>
  <c r="L44" i="8"/>
  <c r="L60" i="8"/>
  <c r="L50" i="8"/>
  <c r="L70" i="8"/>
  <c r="L130" i="8"/>
  <c r="L220" i="8"/>
  <c r="L110" i="8"/>
  <c r="L120" i="8"/>
  <c r="L150" i="8"/>
  <c r="L180" i="8"/>
  <c r="L160" i="8"/>
  <c r="L210" i="8"/>
  <c r="L80" i="8"/>
  <c r="L200" i="8"/>
  <c r="L100" i="8"/>
  <c r="L90" i="8"/>
  <c r="L190" i="8"/>
  <c r="L230" i="8"/>
  <c r="L140" i="8"/>
  <c r="L170" i="8"/>
  <c r="L40" i="8"/>
  <c r="L155" i="10"/>
  <c r="L175" i="10"/>
  <c r="L95" i="10"/>
  <c r="L165" i="10"/>
  <c r="L125" i="10"/>
  <c r="L225" i="10"/>
  <c r="L135" i="10"/>
  <c r="L205" i="10"/>
  <c r="L215" i="10"/>
  <c r="L145" i="10"/>
  <c r="L85" i="10"/>
  <c r="L115" i="10"/>
  <c r="L65" i="10"/>
  <c r="L105" i="10"/>
  <c r="L75" i="10"/>
  <c r="L185" i="10"/>
  <c r="L235" i="10"/>
  <c r="L55" i="10"/>
  <c r="L195" i="10"/>
  <c r="L45" i="10"/>
  <c r="L133" i="10"/>
  <c r="L163" i="10"/>
  <c r="L123" i="10"/>
  <c r="L113" i="10"/>
  <c r="L53" i="10"/>
  <c r="L143" i="10"/>
  <c r="L153" i="10"/>
  <c r="L83" i="10"/>
  <c r="L73" i="10"/>
  <c r="L63" i="10"/>
  <c r="L223" i="10"/>
  <c r="L213" i="10"/>
  <c r="L193" i="10"/>
  <c r="L173" i="10"/>
  <c r="L233" i="10"/>
  <c r="L103" i="10"/>
  <c r="L93" i="10"/>
  <c r="L203" i="10"/>
  <c r="L183" i="10"/>
  <c r="L43" i="10"/>
  <c r="L201" i="10"/>
  <c r="L81" i="10"/>
  <c r="L141" i="10"/>
  <c r="L61" i="10"/>
  <c r="L191" i="10"/>
  <c r="L51" i="10"/>
  <c r="L171" i="10"/>
  <c r="L181" i="10"/>
  <c r="L151" i="10"/>
  <c r="L161" i="10"/>
  <c r="L91" i="10"/>
  <c r="L211" i="10"/>
  <c r="L121" i="10"/>
  <c r="L221" i="10"/>
  <c r="L101" i="10"/>
  <c r="L231" i="10"/>
  <c r="L71" i="10"/>
  <c r="L111" i="10"/>
  <c r="L131" i="10"/>
  <c r="L41" i="10"/>
  <c r="L69" i="10"/>
  <c r="L139" i="10"/>
  <c r="L89" i="10"/>
  <c r="L189" i="10"/>
  <c r="L209" i="10"/>
  <c r="L129" i="10"/>
  <c r="L179" i="10"/>
  <c r="L99" i="10"/>
  <c r="L109" i="10"/>
  <c r="L59" i="10"/>
  <c r="L79" i="10"/>
  <c r="L119" i="10"/>
  <c r="L149" i="10"/>
  <c r="L229" i="10"/>
  <c r="L219" i="10"/>
  <c r="L199" i="10"/>
  <c r="L159" i="10"/>
  <c r="L239" i="10"/>
  <c r="L169" i="10"/>
  <c r="L49" i="10"/>
  <c r="L214" i="10"/>
  <c r="L84" i="10"/>
  <c r="L174" i="10"/>
  <c r="L74" i="10"/>
  <c r="L144" i="10"/>
  <c r="L114" i="10"/>
  <c r="L164" i="10"/>
  <c r="L204" i="10"/>
  <c r="L134" i="10"/>
  <c r="L104" i="10"/>
  <c r="L234" i="10"/>
  <c r="L194" i="10"/>
  <c r="L94" i="10"/>
  <c r="L154" i="10"/>
  <c r="L124" i="10"/>
  <c r="L64" i="10"/>
  <c r="L224" i="10"/>
  <c r="L184" i="10"/>
  <c r="L44" i="10"/>
  <c r="L54" i="10"/>
  <c r="L66" i="10"/>
  <c r="L136" i="10"/>
  <c r="L116" i="10"/>
  <c r="L186" i="10"/>
  <c r="L146" i="10"/>
  <c r="L56" i="10"/>
  <c r="L96" i="10"/>
  <c r="L216" i="10"/>
  <c r="L76" i="10"/>
  <c r="L236" i="10"/>
  <c r="L86" i="10"/>
  <c r="L196" i="10"/>
  <c r="L176" i="10"/>
  <c r="L156" i="10"/>
  <c r="L206" i="10"/>
  <c r="L126" i="10"/>
  <c r="L226" i="10"/>
  <c r="L106" i="10"/>
  <c r="L166" i="10"/>
  <c r="L46" i="10"/>
  <c r="L188" i="10"/>
  <c r="L118" i="10"/>
  <c r="L68" i="10"/>
  <c r="L208" i="10"/>
  <c r="L228" i="10"/>
  <c r="L198" i="10"/>
  <c r="L88" i="10"/>
  <c r="L168" i="10"/>
  <c r="L158" i="10"/>
  <c r="L58" i="10"/>
  <c r="L98" i="10"/>
  <c r="L238" i="10"/>
  <c r="L108" i="10"/>
  <c r="L218" i="10"/>
  <c r="L128" i="10"/>
  <c r="L138" i="10"/>
  <c r="L178" i="10"/>
  <c r="L148" i="10"/>
  <c r="L78" i="10"/>
  <c r="L48" i="10"/>
  <c r="L132" i="10"/>
  <c r="L122" i="10"/>
  <c r="L52" i="10"/>
  <c r="L182" i="10"/>
  <c r="L142" i="10"/>
  <c r="L202" i="10"/>
  <c r="L232" i="10"/>
  <c r="L82" i="10"/>
  <c r="L102" i="10"/>
  <c r="L112" i="10"/>
  <c r="L212" i="10"/>
  <c r="L152" i="10"/>
  <c r="L72" i="10"/>
  <c r="L172" i="10"/>
  <c r="L192" i="10"/>
  <c r="L62" i="10"/>
  <c r="L222" i="10"/>
  <c r="L92" i="10"/>
  <c r="L162" i="10"/>
  <c r="L42" i="10"/>
  <c r="L160" i="10"/>
  <c r="L80" i="10"/>
  <c r="L130" i="10"/>
  <c r="L210" i="10"/>
  <c r="L190" i="10"/>
  <c r="L100" i="10"/>
  <c r="L60" i="10"/>
  <c r="L110" i="10"/>
  <c r="L50" i="10"/>
  <c r="L170" i="10"/>
  <c r="L230" i="10"/>
  <c r="L70" i="10"/>
  <c r="L180" i="10"/>
  <c r="L140" i="10"/>
  <c r="L90" i="10"/>
  <c r="L150" i="10"/>
  <c r="L220" i="10"/>
  <c r="L120" i="10"/>
  <c r="L200" i="10"/>
  <c r="L40" i="10"/>
  <c r="L77" i="10"/>
  <c r="L137" i="10"/>
  <c r="L57" i="10"/>
  <c r="L237" i="10"/>
  <c r="L157" i="10"/>
  <c r="L167" i="10"/>
  <c r="L67" i="10"/>
  <c r="L177" i="10"/>
  <c r="L187" i="10"/>
  <c r="L147" i="10"/>
  <c r="L227" i="10"/>
  <c r="L127" i="10"/>
  <c r="L107" i="10"/>
  <c r="L97" i="10"/>
  <c r="L87" i="10"/>
  <c r="L197" i="10"/>
  <c r="L207" i="10"/>
  <c r="L117" i="10"/>
  <c r="L217" i="10"/>
  <c r="L47" i="10"/>
  <c r="C147" i="7" a="1"/>
  <c r="C217" i="7" a="1"/>
  <c r="C67" i="7" a="1"/>
  <c r="C167" i="7" a="1"/>
  <c r="C207" i="7" a="1"/>
  <c r="C187" i="7" a="1"/>
  <c r="C157" i="7" a="1"/>
  <c r="C97" i="7" a="1"/>
  <c r="C57" i="7" a="1"/>
  <c r="C177" i="7" a="1"/>
  <c r="C77" i="7" a="1"/>
  <c r="C117" i="7" a="1"/>
  <c r="C127" i="7" a="1"/>
  <c r="C237" i="7" a="1"/>
  <c r="C227" i="7" a="1"/>
  <c r="C87" i="7" a="1"/>
  <c r="C197" i="7" a="1"/>
  <c r="C137" i="7" a="1"/>
  <c r="C107" i="7" a="1"/>
  <c r="AA6" i="7"/>
  <c r="AK6" i="7"/>
  <c r="AA6" i="10"/>
  <c r="AK6" i="10"/>
  <c r="AA7" i="10"/>
  <c r="AK7" i="10"/>
  <c r="Q40" i="8"/>
  <c r="R40" i="8" s="1"/>
  <c r="H40" i="8"/>
  <c r="Q180" i="8"/>
  <c r="R180" i="8" s="1"/>
  <c r="H180" i="8"/>
  <c r="AA5" i="7"/>
  <c r="AK5" i="7"/>
  <c r="AL9" i="10"/>
  <c r="AL14" i="10"/>
  <c r="AC11" i="10"/>
  <c r="AL19" i="10"/>
  <c r="AB17" i="10"/>
  <c r="AM10" i="10"/>
  <c r="H130" i="8"/>
  <c r="AB22" i="10"/>
  <c r="AL22" i="10"/>
  <c r="H60" i="8"/>
  <c r="H80" i="10"/>
  <c r="I38" i="5"/>
  <c r="H150" i="8"/>
  <c r="H170" i="10"/>
  <c r="AL20" i="8"/>
  <c r="AB20" i="8"/>
  <c r="H140" i="8"/>
  <c r="D11" i="5"/>
  <c r="H230" i="10"/>
  <c r="H70" i="10"/>
  <c r="H170" i="8"/>
  <c r="H110" i="8"/>
  <c r="E11" i="5"/>
  <c r="H190" i="8"/>
  <c r="V32" i="10"/>
  <c r="W32" i="10"/>
  <c r="H190" i="10"/>
  <c r="V33" i="8"/>
  <c r="W33" i="8"/>
  <c r="Y30" i="8"/>
  <c r="J64" i="6"/>
  <c r="H40" i="10"/>
  <c r="Q40" i="10"/>
  <c r="R40" i="10" s="1"/>
  <c r="V32" i="8"/>
  <c r="W32" i="8"/>
  <c r="Q90" i="10"/>
  <c r="R90" i="10" s="1"/>
  <c r="H70" i="8"/>
  <c r="H120" i="10"/>
  <c r="F38" i="7"/>
  <c r="F39" i="7"/>
  <c r="H130" i="10"/>
  <c r="Q130" i="10"/>
  <c r="R130" i="10" s="1"/>
  <c r="E39" i="7"/>
  <c r="E38" i="7"/>
  <c r="H80" i="8"/>
  <c r="H110" i="10"/>
  <c r="H200" i="8"/>
  <c r="D12" i="6"/>
  <c r="M160" i="10"/>
  <c r="N160" i="10" s="1"/>
  <c r="U160" i="10" s="1"/>
  <c r="V160" i="10" s="1"/>
  <c r="X160" i="10" s="1"/>
  <c r="M190" i="10"/>
  <c r="N190" i="10" s="1"/>
  <c r="U190" i="10" s="1"/>
  <c r="V190" i="10" s="1"/>
  <c r="X190" i="10" s="1"/>
  <c r="Y190" i="10" s="1"/>
  <c r="M210" i="10"/>
  <c r="N210" i="10" s="1"/>
  <c r="U210" i="10" s="1"/>
  <c r="V210" i="10" s="1"/>
  <c r="X210" i="10" s="1"/>
  <c r="M220" i="10"/>
  <c r="N220" i="10" s="1"/>
  <c r="U220" i="10" s="1"/>
  <c r="V220" i="10" s="1"/>
  <c r="X220" i="10" s="1"/>
  <c r="M230" i="10"/>
  <c r="N230" i="10" s="1"/>
  <c r="U230" i="10" s="1"/>
  <c r="V230" i="10" s="1"/>
  <c r="X230" i="10" s="1"/>
  <c r="M170" i="10"/>
  <c r="N170" i="10" s="1"/>
  <c r="U170" i="10" s="1"/>
  <c r="V170" i="10" s="1"/>
  <c r="X170" i="10" s="1"/>
  <c r="M180" i="10"/>
  <c r="N180" i="10" s="1"/>
  <c r="U180" i="10" s="1"/>
  <c r="V180" i="10" s="1"/>
  <c r="X180" i="10" s="1"/>
  <c r="Y180" i="10" s="1"/>
  <c r="M100" i="10"/>
  <c r="N100" i="10" s="1"/>
  <c r="U100" i="10" s="1"/>
  <c r="V100" i="10" s="1"/>
  <c r="X100" i="10" s="1"/>
  <c r="M200" i="10"/>
  <c r="N200" i="10" s="1"/>
  <c r="M130" i="10"/>
  <c r="N130" i="10" s="1"/>
  <c r="M110" i="10"/>
  <c r="N110" i="10" s="1"/>
  <c r="U110" i="10" s="1"/>
  <c r="V110" i="10" s="1"/>
  <c r="X110" i="10" s="1"/>
  <c r="Y110" i="10" s="1"/>
  <c r="M150" i="10"/>
  <c r="N150" i="10" s="1"/>
  <c r="U150" i="10" s="1"/>
  <c r="V150" i="10" s="1"/>
  <c r="X150" i="10" s="1"/>
  <c r="M120" i="10"/>
  <c r="N120" i="10" s="1"/>
  <c r="U120" i="10" s="1"/>
  <c r="V120" i="10" s="1"/>
  <c r="X120" i="10" s="1"/>
  <c r="M70" i="10"/>
  <c r="N70" i="10" s="1"/>
  <c r="U70" i="10" s="1"/>
  <c r="V70" i="10" s="1"/>
  <c r="X70" i="10" s="1"/>
  <c r="M40" i="10"/>
  <c r="N40" i="10" s="1"/>
  <c r="M50" i="10"/>
  <c r="N50" i="10" s="1"/>
  <c r="U50" i="10" s="1"/>
  <c r="V50" i="10" s="1"/>
  <c r="X50" i="10" s="1"/>
  <c r="M140" i="10"/>
  <c r="N140" i="10" s="1"/>
  <c r="M60" i="10"/>
  <c r="N60" i="10" s="1"/>
  <c r="U60" i="10" s="1"/>
  <c r="V60" i="10" s="1"/>
  <c r="X60" i="10" s="1"/>
  <c r="M80" i="10"/>
  <c r="N80" i="10" s="1"/>
  <c r="U80" i="10" s="1"/>
  <c r="V80" i="10" s="1"/>
  <c r="X80" i="10" s="1"/>
  <c r="M90" i="10"/>
  <c r="N90" i="10" s="1"/>
  <c r="AK5" i="10"/>
  <c r="AA5" i="10"/>
  <c r="H120" i="8"/>
  <c r="H50" i="10"/>
  <c r="H140" i="10"/>
  <c r="Q140" i="10"/>
  <c r="R140" i="10" s="1"/>
  <c r="H160" i="8"/>
  <c r="H180" i="10"/>
  <c r="H160" i="10"/>
  <c r="H100" i="10"/>
  <c r="M90" i="8"/>
  <c r="N90" i="8" s="1"/>
  <c r="U90" i="8" s="1"/>
  <c r="V90" i="8" s="1"/>
  <c r="X90" i="8" s="1"/>
  <c r="M70" i="8"/>
  <c r="N70" i="8" s="1"/>
  <c r="U70" i="8" s="1"/>
  <c r="V70" i="8" s="1"/>
  <c r="X70" i="8" s="1"/>
  <c r="M40" i="8"/>
  <c r="N40" i="8" s="1"/>
  <c r="M190" i="8"/>
  <c r="N190" i="8" s="1"/>
  <c r="U190" i="8" s="1"/>
  <c r="V190" i="8" s="1"/>
  <c r="X190" i="8" s="1"/>
  <c r="M60" i="8"/>
  <c r="N60" i="8" s="1"/>
  <c r="U60" i="8" s="1"/>
  <c r="V60" i="8" s="1"/>
  <c r="X60" i="8" s="1"/>
  <c r="M110" i="8"/>
  <c r="N110" i="8" s="1"/>
  <c r="U110" i="8" s="1"/>
  <c r="V110" i="8" s="1"/>
  <c r="X110" i="8" s="1"/>
  <c r="M210" i="8"/>
  <c r="N210" i="8" s="1"/>
  <c r="U210" i="8" s="1"/>
  <c r="V210" i="8" s="1"/>
  <c r="X210" i="8" s="1"/>
  <c r="M140" i="8"/>
  <c r="N140" i="8" s="1"/>
  <c r="U140" i="8" s="1"/>
  <c r="V140" i="8" s="1"/>
  <c r="X140" i="8" s="1"/>
  <c r="Y140" i="8" s="1"/>
  <c r="M100" i="8"/>
  <c r="N100" i="8" s="1"/>
  <c r="U100" i="8" s="1"/>
  <c r="V100" i="8" s="1"/>
  <c r="X100" i="8" s="1"/>
  <c r="M130" i="8"/>
  <c r="N130" i="8" s="1"/>
  <c r="U130" i="8" s="1"/>
  <c r="V130" i="8" s="1"/>
  <c r="X130" i="8" s="1"/>
  <c r="M200" i="8"/>
  <c r="N200" i="8" s="1"/>
  <c r="U200" i="8" s="1"/>
  <c r="V200" i="8" s="1"/>
  <c r="X200" i="8" s="1"/>
  <c r="M220" i="8"/>
  <c r="N220" i="8" s="1"/>
  <c r="U220" i="8" s="1"/>
  <c r="V220" i="8" s="1"/>
  <c r="X220" i="8" s="1"/>
  <c r="M170" i="8"/>
  <c r="N170" i="8" s="1"/>
  <c r="U170" i="8" s="1"/>
  <c r="V170" i="8" s="1"/>
  <c r="X170" i="8" s="1"/>
  <c r="M50" i="8"/>
  <c r="N50" i="8" s="1"/>
  <c r="U50" i="8" s="1"/>
  <c r="V50" i="8" s="1"/>
  <c r="X50" i="8" s="1"/>
  <c r="M120" i="8"/>
  <c r="N120" i="8" s="1"/>
  <c r="U120" i="8" s="1"/>
  <c r="V120" i="8" s="1"/>
  <c r="X120" i="8" s="1"/>
  <c r="M150" i="8"/>
  <c r="N150" i="8" s="1"/>
  <c r="U150" i="8" s="1"/>
  <c r="V150" i="8" s="1"/>
  <c r="X150" i="8" s="1"/>
  <c r="M180" i="8"/>
  <c r="N180" i="8" s="1"/>
  <c r="M230" i="8"/>
  <c r="N230" i="8" s="1"/>
  <c r="U230" i="8" s="1"/>
  <c r="V230" i="8" s="1"/>
  <c r="X230" i="8" s="1"/>
  <c r="M80" i="8"/>
  <c r="N80" i="8" s="1"/>
  <c r="U80" i="8" s="1"/>
  <c r="V80" i="8" s="1"/>
  <c r="X80" i="8" s="1"/>
  <c r="Y80" i="8" s="1"/>
  <c r="M160" i="8"/>
  <c r="N160" i="8" s="1"/>
  <c r="U160" i="8" s="1"/>
  <c r="V160" i="8" s="1"/>
  <c r="X160" i="8" s="1"/>
  <c r="Y160" i="8" s="1"/>
  <c r="AA5" i="8"/>
  <c r="H230" i="8"/>
  <c r="X31" i="10"/>
  <c r="H100" i="8"/>
  <c r="H60" i="10"/>
  <c r="E11" i="6"/>
  <c r="E9" i="6" a="1"/>
  <c r="E10" i="6" a="1"/>
  <c r="H150" i="10"/>
  <c r="C43" i="7"/>
  <c r="C46" i="7" s="1"/>
  <c r="C73" i="7"/>
  <c r="C76" i="7" s="1"/>
  <c r="C93" i="7"/>
  <c r="C96" i="7" s="1"/>
  <c r="C63" i="7"/>
  <c r="C66" i="7" s="1"/>
  <c r="C123" i="7"/>
  <c r="C126" i="7" s="1"/>
  <c r="C193" i="7"/>
  <c r="C196" i="7" s="1"/>
  <c r="C203" i="7"/>
  <c r="C206" i="7" s="1"/>
  <c r="C53" i="7"/>
  <c r="C56" i="7" s="1"/>
  <c r="C103" i="7"/>
  <c r="C106" i="7" s="1"/>
  <c r="C233" i="7"/>
  <c r="C236" i="7" s="1"/>
  <c r="C223" i="7"/>
  <c r="C226" i="7" s="1"/>
  <c r="C213" i="7"/>
  <c r="C216" i="7" s="1"/>
  <c r="C83" i="7"/>
  <c r="C86" i="7" s="1"/>
  <c r="C143" i="7"/>
  <c r="C146" i="7" s="1"/>
  <c r="C153" i="7"/>
  <c r="C156" i="7" s="1"/>
  <c r="C163" i="7"/>
  <c r="C166" i="7" s="1"/>
  <c r="C133" i="7"/>
  <c r="C136" i="7" s="1"/>
  <c r="C113" i="7"/>
  <c r="C116" i="7" s="1"/>
  <c r="C173" i="7"/>
  <c r="C176" i="7" s="1"/>
  <c r="C183" i="7"/>
  <c r="C186" i="7" s="1"/>
  <c r="H220" i="10"/>
  <c r="H50" i="8"/>
  <c r="H220" i="8"/>
  <c r="H101" i="8"/>
  <c r="X31" i="8"/>
  <c r="H210" i="8"/>
  <c r="N35" i="10"/>
  <c r="H15" i="9"/>
  <c r="H36" i="7"/>
  <c r="N35" i="8"/>
  <c r="H13" i="6"/>
  <c r="H12" i="5"/>
  <c r="H90" i="8"/>
  <c r="H200" i="10"/>
  <c r="Q200" i="10"/>
  <c r="R200" i="10" s="1"/>
  <c r="H201" i="8"/>
  <c r="AL8" i="8"/>
  <c r="AB8" i="8"/>
  <c r="AB14" i="8"/>
  <c r="AL14" i="8"/>
  <c r="G39" i="7"/>
  <c r="O224" i="10"/>
  <c r="O234" i="10"/>
  <c r="O164" i="10"/>
  <c r="O174" i="10"/>
  <c r="O194" i="10"/>
  <c r="O184" i="10"/>
  <c r="O154" i="10"/>
  <c r="O104" i="10"/>
  <c r="O114" i="10"/>
  <c r="O124" i="10"/>
  <c r="O144" i="10"/>
  <c r="O134" i="10"/>
  <c r="O64" i="10"/>
  <c r="O204" i="10"/>
  <c r="O214" i="10"/>
  <c r="O94" i="10"/>
  <c r="O54" i="10"/>
  <c r="O44" i="10"/>
  <c r="O74" i="10"/>
  <c r="O164" i="8"/>
  <c r="O224" i="8"/>
  <c r="O84" i="10"/>
  <c r="O234" i="8"/>
  <c r="O174" i="8"/>
  <c r="O184" i="8"/>
  <c r="O134" i="8"/>
  <c r="O104" i="8"/>
  <c r="O54" i="8"/>
  <c r="O194" i="8"/>
  <c r="O154" i="8"/>
  <c r="O204" i="8"/>
  <c r="O144" i="8"/>
  <c r="O214" i="8"/>
  <c r="O114" i="8"/>
  <c r="O44" i="8"/>
  <c r="O74" i="8"/>
  <c r="O84" i="8"/>
  <c r="O124" i="8"/>
  <c r="O64" i="8"/>
  <c r="O34" i="8"/>
  <c r="G37" i="7"/>
  <c r="G38" i="7" s="1"/>
  <c r="O94" i="8"/>
  <c r="G19" i="6"/>
  <c r="G18" i="5"/>
  <c r="O34" i="10"/>
  <c r="G21" i="9"/>
  <c r="H151" i="8"/>
  <c r="H131" i="8"/>
  <c r="V34" i="8"/>
  <c r="W34" i="8"/>
  <c r="M41" i="8"/>
  <c r="N41" i="8" s="1"/>
  <c r="AB5" i="8"/>
  <c r="AL5" i="8"/>
  <c r="H210" i="10"/>
  <c r="H111" i="8"/>
  <c r="H71" i="8"/>
  <c r="V34" i="10"/>
  <c r="W34" i="10"/>
  <c r="W33" i="10"/>
  <c r="V33" i="10"/>
  <c r="AM23" i="10"/>
  <c r="AC23" i="10"/>
  <c r="AL18" i="10"/>
  <c r="AB18" i="10"/>
  <c r="AC21" i="10"/>
  <c r="AM21" i="10"/>
  <c r="AC20" i="10"/>
  <c r="AM20" i="10"/>
  <c r="AN11" i="10"/>
  <c r="AD11" i="10"/>
  <c r="AC17" i="10"/>
  <c r="AM17" i="10"/>
  <c r="AC13" i="10"/>
  <c r="AM13" i="10"/>
  <c r="AC21" i="8"/>
  <c r="AM21" i="8"/>
  <c r="AC15" i="8"/>
  <c r="AM15" i="8"/>
  <c r="AC12" i="8"/>
  <c r="AM12" i="8"/>
  <c r="AM11" i="8"/>
  <c r="AC11" i="8"/>
  <c r="AC9" i="8"/>
  <c r="AM9" i="8"/>
  <c r="AL13" i="8"/>
  <c r="AB13" i="8"/>
  <c r="AC10" i="8"/>
  <c r="AM10" i="8"/>
  <c r="AM23" i="8"/>
  <c r="AC23" i="8"/>
  <c r="AC22" i="8"/>
  <c r="AM22" i="8"/>
  <c r="AC20" i="7"/>
  <c r="AM20" i="7"/>
  <c r="AC17" i="7"/>
  <c r="AM17" i="7"/>
  <c r="AC22" i="7"/>
  <c r="AM22" i="7"/>
  <c r="AC10" i="7"/>
  <c r="AM10" i="7"/>
  <c r="AC9" i="7"/>
  <c r="AM9" i="7"/>
  <c r="AC19" i="7"/>
  <c r="AM19" i="7"/>
  <c r="AC21" i="7"/>
  <c r="AM21" i="7"/>
  <c r="AC14" i="7"/>
  <c r="AM14" i="7"/>
  <c r="AM18" i="7"/>
  <c r="AC18" i="7"/>
  <c r="AM23" i="7"/>
  <c r="AC23" i="7"/>
  <c r="AM11" i="7"/>
  <c r="AC11" i="7"/>
  <c r="J34" i="10"/>
  <c r="Q34" i="10" s="1"/>
  <c r="R34" i="10" s="1"/>
  <c r="U33" i="10"/>
  <c r="Y30" i="10"/>
  <c r="J66" i="9"/>
  <c r="H25" i="10"/>
  <c r="E16" i="9" s="1"/>
  <c r="F25" i="10"/>
  <c r="C16" i="9" s="1"/>
  <c r="H28" i="3"/>
  <c r="H10" i="3"/>
  <c r="H29" i="3" s="1"/>
  <c r="I15" i="3"/>
  <c r="I30" i="3" s="1"/>
  <c r="H31" i="3"/>
  <c r="G33" i="3"/>
  <c r="G34" i="3" s="1"/>
  <c r="F25" i="8"/>
  <c r="C14" i="6" s="1"/>
  <c r="F7" i="6"/>
  <c r="M63" i="6"/>
  <c r="I4" i="4"/>
  <c r="I8" i="4"/>
  <c r="F7" i="5"/>
  <c r="I32" i="4"/>
  <c r="G29" i="4"/>
  <c r="G5" i="4" s="1"/>
  <c r="H29" i="4"/>
  <c r="H5" i="4" s="1"/>
  <c r="F25" i="7"/>
  <c r="C13" i="5" s="1"/>
  <c r="F5" i="4"/>
  <c r="U33" i="8" l="1"/>
  <c r="J34" i="8"/>
  <c r="Q34" i="8" s="1"/>
  <c r="R34" i="8" s="1"/>
  <c r="AB7" i="7"/>
  <c r="AL7" i="7"/>
  <c r="AC7" i="8"/>
  <c r="AM7" i="8"/>
  <c r="AC16" i="10"/>
  <c r="AM16" i="10"/>
  <c r="AC13" i="7"/>
  <c r="AM13" i="7"/>
  <c r="AC24" i="7"/>
  <c r="AM24" i="7"/>
  <c r="AD24" i="7" s="1"/>
  <c r="AM16" i="8"/>
  <c r="AC16" i="8"/>
  <c r="AC19" i="8"/>
  <c r="AM19" i="8"/>
  <c r="AM16" i="7"/>
  <c r="AC16" i="7"/>
  <c r="AC8" i="10"/>
  <c r="AM8" i="10"/>
  <c r="AC24" i="10"/>
  <c r="AM24" i="10"/>
  <c r="AD12" i="10"/>
  <c r="AN12" i="10"/>
  <c r="AC15" i="10"/>
  <c r="AM15" i="10"/>
  <c r="AM18" i="8"/>
  <c r="AC18" i="8"/>
  <c r="AC15" i="7"/>
  <c r="AM15" i="7"/>
  <c r="AC17" i="8"/>
  <c r="AM17" i="8"/>
  <c r="AC12" i="7"/>
  <c r="AM12" i="7"/>
  <c r="AC8" i="7"/>
  <c r="AM8" i="7"/>
  <c r="AC24" i="8"/>
  <c r="AM24" i="8"/>
  <c r="AM9" i="10"/>
  <c r="AC9" i="10"/>
  <c r="AC14" i="10"/>
  <c r="AM14" i="10"/>
  <c r="AC19" i="10"/>
  <c r="AM19" i="10"/>
  <c r="AN10" i="10"/>
  <c r="AD10" i="10"/>
  <c r="C48" i="7"/>
  <c r="H39" i="5" s="1"/>
  <c r="M121" i="8"/>
  <c r="N121" i="8" s="1"/>
  <c r="C148" i="7"/>
  <c r="H49" i="5" s="1"/>
  <c r="AB6" i="8"/>
  <c r="AL6" i="8"/>
  <c r="C78" i="7"/>
  <c r="H42" i="5" s="1"/>
  <c r="C128" i="7"/>
  <c r="H47" i="5" s="1"/>
  <c r="C208" i="7"/>
  <c r="H55" i="5" s="1"/>
  <c r="C108" i="7"/>
  <c r="H45" i="5" s="1"/>
  <c r="C218" i="7"/>
  <c r="H56" i="5" s="1"/>
  <c r="C88" i="7"/>
  <c r="H43" i="5" s="1"/>
  <c r="C158" i="7"/>
  <c r="H50" i="5" s="1"/>
  <c r="C138" i="7"/>
  <c r="H48" i="5" s="1"/>
  <c r="C188" i="7"/>
  <c r="H53" i="5" s="1"/>
  <c r="C98" i="7"/>
  <c r="H44" i="5" s="1"/>
  <c r="C68" i="7"/>
  <c r="H41" i="5" s="1"/>
  <c r="C198" i="7"/>
  <c r="H54" i="5" s="1"/>
  <c r="C58" i="7"/>
  <c r="H40" i="5" s="1"/>
  <c r="C238" i="7"/>
  <c r="H58" i="5" s="1"/>
  <c r="C178" i="7"/>
  <c r="H52" i="5" s="1"/>
  <c r="C228" i="7"/>
  <c r="H57" i="5" s="1"/>
  <c r="C168" i="7"/>
  <c r="H51" i="5" s="1"/>
  <c r="C118" i="7"/>
  <c r="H46" i="5" s="1"/>
  <c r="M111" i="8"/>
  <c r="N111" i="8" s="1"/>
  <c r="M231" i="8"/>
  <c r="N231" i="8" s="1"/>
  <c r="M81" i="8"/>
  <c r="N81" i="8" s="1"/>
  <c r="M151" i="8"/>
  <c r="N151" i="8" s="1"/>
  <c r="M131" i="8"/>
  <c r="N131" i="8" s="1"/>
  <c r="M61" i="8"/>
  <c r="N61" i="8" s="1"/>
  <c r="M181" i="8"/>
  <c r="N181" i="8" s="1"/>
  <c r="M161" i="8"/>
  <c r="N161" i="8" s="1"/>
  <c r="M191" i="8"/>
  <c r="N191" i="8" s="1"/>
  <c r="M91" i="8"/>
  <c r="N91" i="8" s="1"/>
  <c r="M71" i="8"/>
  <c r="N71" i="8" s="1"/>
  <c r="M101" i="8"/>
  <c r="N101" i="8" s="1"/>
  <c r="M201" i="8"/>
  <c r="N201" i="8" s="1"/>
  <c r="M221" i="8"/>
  <c r="N221" i="8" s="1"/>
  <c r="M51" i="8"/>
  <c r="N51" i="8" s="1"/>
  <c r="M141" i="8"/>
  <c r="N141" i="8" s="1"/>
  <c r="M171" i="8"/>
  <c r="N171" i="8" s="1"/>
  <c r="M211" i="8"/>
  <c r="N211" i="8" s="1"/>
  <c r="AL6" i="7"/>
  <c r="AB6" i="7"/>
  <c r="D213" i="7"/>
  <c r="D216" i="7" s="1"/>
  <c r="AL6" i="10"/>
  <c r="AB6" i="10"/>
  <c r="AL7" i="10"/>
  <c r="AB7" i="10"/>
  <c r="AC7" i="7"/>
  <c r="AM7" i="7"/>
  <c r="AD7" i="8"/>
  <c r="AN7" i="8"/>
  <c r="D83" i="7"/>
  <c r="D86" i="7" s="1"/>
  <c r="D43" i="7"/>
  <c r="D46" i="7" s="1"/>
  <c r="D73" i="7"/>
  <c r="D76" i="7" s="1"/>
  <c r="D93" i="7"/>
  <c r="D96" i="7" s="1"/>
  <c r="D63" i="7"/>
  <c r="D66" i="7" s="1"/>
  <c r="D123" i="7"/>
  <c r="D126" i="7" s="1"/>
  <c r="D193" i="7"/>
  <c r="D196" i="7" s="1"/>
  <c r="D203" i="7"/>
  <c r="D206" i="7" s="1"/>
  <c r="D53" i="7"/>
  <c r="D56" i="7" s="1"/>
  <c r="D113" i="7"/>
  <c r="D116" i="7" s="1"/>
  <c r="J79" i="9"/>
  <c r="Y160" i="10"/>
  <c r="J84" i="9"/>
  <c r="Y210" i="10"/>
  <c r="J85" i="9"/>
  <c r="Y220" i="10"/>
  <c r="J86" i="9"/>
  <c r="Y230" i="10"/>
  <c r="J80" i="9"/>
  <c r="Y170" i="10"/>
  <c r="J73" i="9"/>
  <c r="Y100" i="10"/>
  <c r="J78" i="9"/>
  <c r="Y150" i="10"/>
  <c r="J75" i="9"/>
  <c r="Y120" i="10"/>
  <c r="J70" i="9"/>
  <c r="Y70" i="10"/>
  <c r="J68" i="9"/>
  <c r="Y50" i="10"/>
  <c r="J69" i="9"/>
  <c r="Y60" i="10"/>
  <c r="J71" i="9"/>
  <c r="Y80" i="10"/>
  <c r="J70" i="6"/>
  <c r="Y90" i="8"/>
  <c r="J68" i="6"/>
  <c r="Y70" i="8"/>
  <c r="J80" i="6"/>
  <c r="Y190" i="8"/>
  <c r="J67" i="6"/>
  <c r="Y60" i="8"/>
  <c r="J72" i="6"/>
  <c r="Y110" i="8"/>
  <c r="J82" i="6"/>
  <c r="Y210" i="8"/>
  <c r="J71" i="6"/>
  <c r="Y100" i="8"/>
  <c r="J74" i="6"/>
  <c r="Y130" i="8"/>
  <c r="J81" i="6"/>
  <c r="Y200" i="8"/>
  <c r="J83" i="6"/>
  <c r="Y220" i="8"/>
  <c r="J78" i="6"/>
  <c r="Y170" i="8"/>
  <c r="J66" i="6"/>
  <c r="Y50" i="8"/>
  <c r="J73" i="6"/>
  <c r="Y120" i="8"/>
  <c r="J76" i="6"/>
  <c r="Y150" i="8"/>
  <c r="J84" i="6"/>
  <c r="Y230" i="8"/>
  <c r="U40" i="8"/>
  <c r="V40" i="8" s="1"/>
  <c r="X40" i="8" s="1"/>
  <c r="U180" i="8"/>
  <c r="V180" i="8" s="1"/>
  <c r="X180" i="8" s="1"/>
  <c r="D223" i="7"/>
  <c r="D226" i="7" s="1"/>
  <c r="D173" i="7"/>
  <c r="D176" i="7" s="1"/>
  <c r="D183" i="7"/>
  <c r="D186" i="7" s="1"/>
  <c r="D233" i="7"/>
  <c r="D236" i="7" s="1"/>
  <c r="D103" i="7"/>
  <c r="D106" i="7" s="1"/>
  <c r="D143" i="7"/>
  <c r="D146" i="7" s="1"/>
  <c r="D153" i="7"/>
  <c r="D156" i="7" s="1"/>
  <c r="D163" i="7"/>
  <c r="D166" i="7" s="1"/>
  <c r="D133" i="7"/>
  <c r="D136" i="7" s="1"/>
  <c r="AB5" i="7"/>
  <c r="AL5" i="7"/>
  <c r="D222" i="7"/>
  <c r="D227" i="7" s="1" a="1"/>
  <c r="D82" i="7"/>
  <c r="D87" i="7" s="1" a="1"/>
  <c r="D42" i="7"/>
  <c r="D47" i="7" s="1" a="1"/>
  <c r="D72" i="7"/>
  <c r="D77" i="7" s="1" a="1"/>
  <c r="D62" i="7"/>
  <c r="D67" i="7" s="1" a="1"/>
  <c r="D122" i="7"/>
  <c r="D127" i="7" s="1" a="1"/>
  <c r="D192" i="7"/>
  <c r="D197" i="7" s="1" a="1"/>
  <c r="D102" i="7"/>
  <c r="D107" i="7" s="1" a="1"/>
  <c r="D232" i="7"/>
  <c r="D237" i="7" s="1" a="1"/>
  <c r="D112" i="7"/>
  <c r="D117" i="7" s="1" a="1"/>
  <c r="D172" i="7"/>
  <c r="D177" i="7" s="1" a="1"/>
  <c r="D182" i="7"/>
  <c r="D187" i="7" s="1" a="1"/>
  <c r="D202" i="7"/>
  <c r="D207" i="7" s="1" a="1"/>
  <c r="D142" i="7"/>
  <c r="D147" i="7" s="1" a="1"/>
  <c r="D92" i="7"/>
  <c r="D97" i="7" s="1" a="1"/>
  <c r="D152" i="7"/>
  <c r="D157" i="7" s="1" a="1"/>
  <c r="D162" i="7"/>
  <c r="D167" i="7" s="1" a="1"/>
  <c r="D52" i="7"/>
  <c r="D57" i="7" s="1" a="1"/>
  <c r="D132" i="7"/>
  <c r="D137" i="7" s="1" a="1"/>
  <c r="D138" i="7" s="1"/>
  <c r="I48" i="5" s="1"/>
  <c r="D212" i="7"/>
  <c r="D217" i="7" s="1" a="1"/>
  <c r="AC22" i="10"/>
  <c r="AM22" i="10"/>
  <c r="U90" i="10"/>
  <c r="V90" i="10" s="1"/>
  <c r="X90" i="10" s="1"/>
  <c r="AM20" i="8"/>
  <c r="AC20" i="8"/>
  <c r="U130" i="10"/>
  <c r="V130" i="10" s="1"/>
  <c r="X130" i="10" s="1"/>
  <c r="X34" i="10"/>
  <c r="Y34" i="10" s="1"/>
  <c r="X34" i="8"/>
  <c r="N64" i="6" s="1"/>
  <c r="J38" i="5"/>
  <c r="L38" i="5"/>
  <c r="X33" i="8"/>
  <c r="Y33" i="8" s="1"/>
  <c r="E12" i="6"/>
  <c r="U40" i="10"/>
  <c r="V40" i="10" s="1"/>
  <c r="X40" i="10" s="1"/>
  <c r="K38" i="5"/>
  <c r="X32" i="8"/>
  <c r="X32" i="10"/>
  <c r="M42" i="8"/>
  <c r="N42" i="8" s="1"/>
  <c r="AM5" i="8"/>
  <c r="AC5" i="8"/>
  <c r="K91" i="8"/>
  <c r="J91" i="8" s="1" a="1"/>
  <c r="K211" i="8"/>
  <c r="J211" i="8" s="1" a="1"/>
  <c r="K131" i="8"/>
  <c r="J131" i="8" s="1" a="1"/>
  <c r="K61" i="8"/>
  <c r="J61" i="8" s="1" a="1"/>
  <c r="K111" i="8"/>
  <c r="J111" i="8" s="1" a="1"/>
  <c r="K231" i="8"/>
  <c r="J231" i="8" s="1" a="1"/>
  <c r="K51" i="8"/>
  <c r="J51" i="8" s="1" a="1"/>
  <c r="K161" i="8"/>
  <c r="J161" i="8" s="1" a="1"/>
  <c r="K81" i="8"/>
  <c r="J81" i="8" s="1" a="1"/>
  <c r="K71" i="8"/>
  <c r="J71" i="8" s="1" a="1"/>
  <c r="K101" i="8"/>
  <c r="J101" i="8" s="1" a="1"/>
  <c r="K201" i="8"/>
  <c r="J201" i="8" s="1" a="1"/>
  <c r="K221" i="8"/>
  <c r="J221" i="8" s="1" a="1"/>
  <c r="K141" i="8"/>
  <c r="J141" i="8" s="1" a="1"/>
  <c r="K171" i="8"/>
  <c r="J171" i="8" s="1" a="1"/>
  <c r="K181" i="8"/>
  <c r="J181" i="8" s="1" a="1"/>
  <c r="K41" i="8"/>
  <c r="J41" i="8" s="1" a="1"/>
  <c r="K121" i="8"/>
  <c r="J121" i="8" s="1" a="1"/>
  <c r="K151" i="8"/>
  <c r="J151" i="8" s="1" a="1"/>
  <c r="K191" i="8"/>
  <c r="J191" i="8" s="1" a="1"/>
  <c r="H145" i="7"/>
  <c r="H185" i="7"/>
  <c r="H65" i="7"/>
  <c r="H8" i="5"/>
  <c r="H8" i="6"/>
  <c r="H35" i="7"/>
  <c r="H10" i="9"/>
  <c r="H14" i="9" s="1"/>
  <c r="T125" i="8"/>
  <c r="H95" i="7"/>
  <c r="T195" i="10"/>
  <c r="H85" i="7"/>
  <c r="H45" i="7"/>
  <c r="T135" i="8"/>
  <c r="H125" i="7"/>
  <c r="T185" i="8"/>
  <c r="T235" i="10"/>
  <c r="T225" i="10"/>
  <c r="T65" i="8"/>
  <c r="T145" i="10"/>
  <c r="H105" i="7"/>
  <c r="H235" i="7"/>
  <c r="T135" i="10"/>
  <c r="T195" i="8"/>
  <c r="T145" i="8"/>
  <c r="H165" i="7"/>
  <c r="H75" i="7"/>
  <c r="H205" i="7"/>
  <c r="T125" i="10"/>
  <c r="T105" i="10"/>
  <c r="T75" i="10"/>
  <c r="T205" i="8"/>
  <c r="T175" i="8"/>
  <c r="T95" i="10"/>
  <c r="H215" i="7"/>
  <c r="T95" i="8"/>
  <c r="T55" i="8"/>
  <c r="H115" i="7"/>
  <c r="T205" i="10"/>
  <c r="T85" i="10"/>
  <c r="T215" i="8"/>
  <c r="T155" i="8"/>
  <c r="H55" i="7"/>
  <c r="T225" i="8"/>
  <c r="T85" i="8"/>
  <c r="H155" i="7"/>
  <c r="H195" i="7"/>
  <c r="H225" i="7"/>
  <c r="T215" i="10"/>
  <c r="T185" i="10"/>
  <c r="T115" i="10"/>
  <c r="T65" i="10"/>
  <c r="T115" i="8"/>
  <c r="H175" i="7"/>
  <c r="T175" i="10"/>
  <c r="T165" i="10"/>
  <c r="T155" i="10"/>
  <c r="T45" i="10"/>
  <c r="T235" i="8"/>
  <c r="T165" i="8"/>
  <c r="H135" i="7"/>
  <c r="T105" i="8"/>
  <c r="T45" i="8"/>
  <c r="T55" i="10"/>
  <c r="T75" i="8"/>
  <c r="T35" i="8"/>
  <c r="T35" i="10"/>
  <c r="X33" i="10"/>
  <c r="K42" i="8"/>
  <c r="Y31" i="8"/>
  <c r="K64" i="6"/>
  <c r="K221" i="10"/>
  <c r="J221" i="10" s="1" a="1"/>
  <c r="K191" i="10"/>
  <c r="J191" i="10" s="1" a="1"/>
  <c r="K231" i="10"/>
  <c r="J231" i="10" s="1" a="1"/>
  <c r="K161" i="10"/>
  <c r="J161" i="10" s="1" a="1"/>
  <c r="K181" i="10"/>
  <c r="J181" i="10" s="1" a="1"/>
  <c r="K101" i="10"/>
  <c r="J101" i="10" s="1" a="1"/>
  <c r="K111" i="10"/>
  <c r="J111" i="10" s="1" a="1"/>
  <c r="K171" i="10"/>
  <c r="J171" i="10" s="1" a="1"/>
  <c r="K141" i="10"/>
  <c r="J141" i="10" s="1" a="1"/>
  <c r="K201" i="10"/>
  <c r="J201" i="10" s="1" a="1"/>
  <c r="K131" i="10"/>
  <c r="J131" i="10" s="1" a="1"/>
  <c r="K151" i="10"/>
  <c r="J151" i="10" s="1" a="1"/>
  <c r="K211" i="10"/>
  <c r="J211" i="10" s="1" a="1"/>
  <c r="K121" i="10"/>
  <c r="J121" i="10" s="1" a="1"/>
  <c r="K71" i="10"/>
  <c r="J71" i="10" s="1" a="1"/>
  <c r="K41" i="10"/>
  <c r="J41" i="10" s="1" a="1"/>
  <c r="K51" i="10"/>
  <c r="J51" i="10" s="1" a="1"/>
  <c r="K61" i="10"/>
  <c r="J61" i="10" s="1" a="1"/>
  <c r="K91" i="10"/>
  <c r="J91" i="10" s="1" a="1"/>
  <c r="K81" i="10"/>
  <c r="J81" i="10" s="1" a="1"/>
  <c r="AC14" i="8"/>
  <c r="AM14" i="8"/>
  <c r="M221" i="10"/>
  <c r="N221" i="10" s="1"/>
  <c r="M231" i="10"/>
  <c r="N231" i="10" s="1"/>
  <c r="M191" i="10"/>
  <c r="N191" i="10" s="1"/>
  <c r="M161" i="10"/>
  <c r="N161" i="10" s="1"/>
  <c r="M181" i="10"/>
  <c r="N181" i="10" s="1"/>
  <c r="M171" i="10"/>
  <c r="N171" i="10" s="1"/>
  <c r="M121" i="10"/>
  <c r="N121" i="10" s="1"/>
  <c r="M141" i="10"/>
  <c r="N141" i="10" s="1"/>
  <c r="M201" i="10"/>
  <c r="N201" i="10" s="1"/>
  <c r="M131" i="10"/>
  <c r="N131" i="10" s="1"/>
  <c r="M111" i="10"/>
  <c r="N111" i="10" s="1"/>
  <c r="M101" i="10"/>
  <c r="N101" i="10" s="1"/>
  <c r="M211" i="10"/>
  <c r="N211" i="10" s="1"/>
  <c r="M81" i="10"/>
  <c r="N81" i="10" s="1"/>
  <c r="M71" i="10"/>
  <c r="N71" i="10" s="1"/>
  <c r="M151" i="10"/>
  <c r="N151" i="10" s="1"/>
  <c r="M41" i="10"/>
  <c r="N41" i="10" s="1"/>
  <c r="M51" i="10"/>
  <c r="N51" i="10" s="1"/>
  <c r="M61" i="10"/>
  <c r="N61" i="10" s="1"/>
  <c r="M91" i="10"/>
  <c r="N91" i="10" s="1"/>
  <c r="AB5" i="10"/>
  <c r="AL5" i="10"/>
  <c r="U200" i="10"/>
  <c r="V200" i="10" s="1"/>
  <c r="X200" i="10" s="1"/>
  <c r="F11" i="6"/>
  <c r="F9" i="6" a="1"/>
  <c r="F10" i="6" a="1"/>
  <c r="F10" i="5" a="1"/>
  <c r="F9" i="5" a="1"/>
  <c r="AM8" i="8"/>
  <c r="AC8" i="8"/>
  <c r="U140" i="10"/>
  <c r="V140" i="10" s="1"/>
  <c r="X140" i="10" s="1"/>
  <c r="Y31" i="10"/>
  <c r="K66" i="9"/>
  <c r="H33" i="3"/>
  <c r="H34" i="3" s="1"/>
  <c r="O165" i="10"/>
  <c r="O185" i="10"/>
  <c r="O225" i="10"/>
  <c r="O175" i="10"/>
  <c r="O215" i="10"/>
  <c r="O235" i="10"/>
  <c r="O105" i="10"/>
  <c r="O195" i="10"/>
  <c r="O115" i="10"/>
  <c r="O155" i="10"/>
  <c r="O145" i="10"/>
  <c r="O205" i="10"/>
  <c r="O135" i="10"/>
  <c r="O125" i="10"/>
  <c r="O65" i="10"/>
  <c r="O85" i="10"/>
  <c r="O45" i="10"/>
  <c r="O55" i="10"/>
  <c r="O75" i="10"/>
  <c r="O225" i="8"/>
  <c r="O95" i="10"/>
  <c r="O235" i="8"/>
  <c r="O175" i="8"/>
  <c r="O165" i="8"/>
  <c r="O105" i="8"/>
  <c r="O195" i="8"/>
  <c r="O205" i="8"/>
  <c r="O215" i="8"/>
  <c r="O125" i="8"/>
  <c r="O85" i="8"/>
  <c r="O185" i="8"/>
  <c r="O135" i="8"/>
  <c r="O75" i="8"/>
  <c r="O95" i="8"/>
  <c r="O145" i="8"/>
  <c r="O155" i="8"/>
  <c r="O65" i="8"/>
  <c r="O55" i="8"/>
  <c r="O115" i="8"/>
  <c r="O45" i="8"/>
  <c r="H21" i="9"/>
  <c r="H37" i="7"/>
  <c r="O35" i="10"/>
  <c r="O35" i="8"/>
  <c r="H19" i="6"/>
  <c r="H18" i="5"/>
  <c r="I12" i="5"/>
  <c r="I15" i="9"/>
  <c r="I36" i="7"/>
  <c r="N36" i="8"/>
  <c r="I13" i="6"/>
  <c r="N36" i="10"/>
  <c r="AD13" i="10"/>
  <c r="AN13" i="10"/>
  <c r="AD20" i="10"/>
  <c r="AN20" i="10"/>
  <c r="AD17" i="10"/>
  <c r="AN17" i="10"/>
  <c r="AD21" i="10"/>
  <c r="AN21" i="10"/>
  <c r="AE11" i="10"/>
  <c r="AO11" i="10"/>
  <c r="AM18" i="10"/>
  <c r="AC18" i="10"/>
  <c r="AN16" i="10"/>
  <c r="AD16" i="10"/>
  <c r="AN23" i="10"/>
  <c r="AD23" i="10"/>
  <c r="AM13" i="8"/>
  <c r="AC13" i="8"/>
  <c r="AD22" i="8"/>
  <c r="AN22" i="8"/>
  <c r="AD9" i="8"/>
  <c r="AN9" i="8"/>
  <c r="AD21" i="8"/>
  <c r="AN21" i="8"/>
  <c r="AN23" i="8"/>
  <c r="AD23" i="8"/>
  <c r="AD15" i="8"/>
  <c r="AN15" i="8"/>
  <c r="AN11" i="8"/>
  <c r="AD11" i="8"/>
  <c r="AD10" i="8"/>
  <c r="AN10" i="8"/>
  <c r="AD12" i="8"/>
  <c r="AN12" i="8"/>
  <c r="AN23" i="7"/>
  <c r="AD23" i="7"/>
  <c r="AN16" i="7"/>
  <c r="AD16" i="7"/>
  <c r="AD18" i="7"/>
  <c r="AN18" i="7"/>
  <c r="AD13" i="7"/>
  <c r="AN13" i="7"/>
  <c r="AN21" i="7"/>
  <c r="AD21" i="7"/>
  <c r="AD22" i="7"/>
  <c r="AN22" i="7"/>
  <c r="AN24" i="7"/>
  <c r="AD19" i="7"/>
  <c r="AN19" i="7"/>
  <c r="AD14" i="7"/>
  <c r="AN14" i="7"/>
  <c r="AN9" i="7"/>
  <c r="AD9" i="7"/>
  <c r="AD17" i="7"/>
  <c r="AN17" i="7"/>
  <c r="AD10" i="7"/>
  <c r="AN10" i="7"/>
  <c r="AD20" i="7"/>
  <c r="AN20" i="7"/>
  <c r="AN11" i="7"/>
  <c r="AD11" i="7"/>
  <c r="J74" i="9"/>
  <c r="J69" i="6"/>
  <c r="J77" i="6"/>
  <c r="J81" i="9"/>
  <c r="J82" i="9"/>
  <c r="J75" i="6"/>
  <c r="D24" i="9"/>
  <c r="D22" i="6"/>
  <c r="D21" i="5"/>
  <c r="D20" i="5" s="1" a="1"/>
  <c r="C24" i="9"/>
  <c r="C22" i="6"/>
  <c r="C21" i="5"/>
  <c r="C20" i="5" s="1" a="1"/>
  <c r="E24" i="9"/>
  <c r="E22" i="6"/>
  <c r="E21" i="5"/>
  <c r="E20" i="5" s="1" a="1"/>
  <c r="J35" i="10"/>
  <c r="Q35" i="10" s="1"/>
  <c r="R35" i="10" s="1"/>
  <c r="U34" i="10"/>
  <c r="G25" i="10"/>
  <c r="D16" i="9" s="1"/>
  <c r="H35" i="3"/>
  <c r="I28" i="3"/>
  <c r="I10" i="3"/>
  <c r="I29" i="3" s="1"/>
  <c r="I31" i="3"/>
  <c r="J15" i="3"/>
  <c r="J30" i="3" s="1"/>
  <c r="G25" i="8"/>
  <c r="D14" i="6" s="1"/>
  <c r="H25" i="8"/>
  <c r="E14" i="6" s="1"/>
  <c r="H25" i="7"/>
  <c r="E13" i="5" s="1"/>
  <c r="G7" i="6"/>
  <c r="G7" i="5"/>
  <c r="J8" i="4"/>
  <c r="J32" i="4"/>
  <c r="J4" i="4"/>
  <c r="N63" i="6"/>
  <c r="G25" i="7"/>
  <c r="D13" i="5" s="1"/>
  <c r="J35" i="8" l="1"/>
  <c r="Q35" i="8" s="1"/>
  <c r="R35" i="8" s="1"/>
  <c r="U34" i="8"/>
  <c r="AD19" i="8"/>
  <c r="AN19" i="8"/>
  <c r="AD12" i="7"/>
  <c r="AN12" i="7"/>
  <c r="AD16" i="8"/>
  <c r="AN16" i="8"/>
  <c r="D208" i="7"/>
  <c r="I55" i="5" s="1"/>
  <c r="AD8" i="10"/>
  <c r="AN8" i="10"/>
  <c r="AD24" i="10"/>
  <c r="AN24" i="10"/>
  <c r="AE12" i="10"/>
  <c r="AO12" i="10"/>
  <c r="AD15" i="10"/>
  <c r="AN15" i="10"/>
  <c r="AN18" i="8"/>
  <c r="AD18" i="8"/>
  <c r="AD15" i="7"/>
  <c r="AN15" i="7"/>
  <c r="AD17" i="8"/>
  <c r="AN17" i="8"/>
  <c r="AD8" i="7"/>
  <c r="AN8" i="7"/>
  <c r="AD24" i="8"/>
  <c r="AN24" i="8"/>
  <c r="AM6" i="7"/>
  <c r="AC6" i="7"/>
  <c r="AD9" i="10"/>
  <c r="AN9" i="10"/>
  <c r="AD14" i="10"/>
  <c r="AN14" i="10"/>
  <c r="AD19" i="10"/>
  <c r="AN19" i="10"/>
  <c r="AE10" i="10"/>
  <c r="AO10" i="10"/>
  <c r="AC7" i="10"/>
  <c r="AM7" i="10"/>
  <c r="AD7" i="7"/>
  <c r="AN7" i="7"/>
  <c r="AE7" i="8"/>
  <c r="AO7" i="8"/>
  <c r="E223" i="7"/>
  <c r="E226" i="7" s="1"/>
  <c r="E83" i="7"/>
  <c r="E86" i="7" s="1"/>
  <c r="E43" i="7"/>
  <c r="E46" i="7" s="1"/>
  <c r="E73" i="7"/>
  <c r="E76" i="7" s="1"/>
  <c r="E93" i="7"/>
  <c r="E96" i="7" s="1"/>
  <c r="AC6" i="8"/>
  <c r="AM6" i="8"/>
  <c r="AC6" i="10"/>
  <c r="AM6" i="10"/>
  <c r="K62" i="8"/>
  <c r="K132" i="8"/>
  <c r="K172" i="8"/>
  <c r="K152" i="8"/>
  <c r="K72" i="8"/>
  <c r="K202" i="8"/>
  <c r="K232" i="8"/>
  <c r="K122" i="8"/>
  <c r="K162" i="8"/>
  <c r="K192" i="8"/>
  <c r="K82" i="8"/>
  <c r="K92" i="8"/>
  <c r="K102" i="8"/>
  <c r="K112" i="8"/>
  <c r="K222" i="8"/>
  <c r="K52" i="8"/>
  <c r="K142" i="8"/>
  <c r="K182" i="8"/>
  <c r="K212" i="8"/>
  <c r="M52" i="8"/>
  <c r="N52" i="8" s="1"/>
  <c r="M152" i="8"/>
  <c r="N152" i="8" s="1"/>
  <c r="M192" i="8"/>
  <c r="N192" i="8" s="1"/>
  <c r="M82" i="8"/>
  <c r="N82" i="8" s="1"/>
  <c r="M172" i="8"/>
  <c r="N172" i="8" s="1"/>
  <c r="M102" i="8"/>
  <c r="N102" i="8" s="1"/>
  <c r="M222" i="8"/>
  <c r="N222" i="8" s="1"/>
  <c r="M212" i="8"/>
  <c r="N212" i="8" s="1"/>
  <c r="M122" i="8"/>
  <c r="N122" i="8" s="1"/>
  <c r="M232" i="8"/>
  <c r="N232" i="8" s="1"/>
  <c r="M72" i="8"/>
  <c r="N72" i="8" s="1"/>
  <c r="M92" i="8"/>
  <c r="N92" i="8" s="1"/>
  <c r="M132" i="8"/>
  <c r="N132" i="8" s="1"/>
  <c r="M162" i="8"/>
  <c r="N162" i="8" s="1"/>
  <c r="M62" i="8"/>
  <c r="N62" i="8" s="1"/>
  <c r="M202" i="8"/>
  <c r="N202" i="8" s="1"/>
  <c r="M112" i="8"/>
  <c r="N112" i="8" s="1"/>
  <c r="M142" i="8"/>
  <c r="N142" i="8" s="1"/>
  <c r="M182" i="8"/>
  <c r="N182" i="8" s="1"/>
  <c r="E143" i="7"/>
  <c r="E146" i="7" s="1"/>
  <c r="E193" i="7"/>
  <c r="E196" i="7" s="1"/>
  <c r="E203" i="7"/>
  <c r="E206" i="7" s="1"/>
  <c r="D228" i="7"/>
  <c r="I57" i="5" s="1"/>
  <c r="D88" i="7"/>
  <c r="I43" i="5" s="1"/>
  <c r="D48" i="7"/>
  <c r="I39" i="5" s="1"/>
  <c r="D78" i="7"/>
  <c r="I42" i="5" s="1"/>
  <c r="D68" i="7"/>
  <c r="I41" i="5" s="1"/>
  <c r="D128" i="7"/>
  <c r="I47" i="5" s="1"/>
  <c r="D198" i="7"/>
  <c r="I54" i="5" s="1"/>
  <c r="D108" i="7"/>
  <c r="I45" i="5" s="1"/>
  <c r="D118" i="7"/>
  <c r="I46" i="5" s="1"/>
  <c r="D178" i="7"/>
  <c r="I52" i="5" s="1"/>
  <c r="D188" i="7"/>
  <c r="I53" i="5" s="1"/>
  <c r="D148" i="7"/>
  <c r="I49" i="5" s="1"/>
  <c r="D98" i="7"/>
  <c r="I44" i="5" s="1"/>
  <c r="D158" i="7"/>
  <c r="I50" i="5" s="1"/>
  <c r="D168" i="7"/>
  <c r="I51" i="5" s="1"/>
  <c r="D58" i="7"/>
  <c r="I40" i="5" s="1"/>
  <c r="D218" i="7"/>
  <c r="I56" i="5" s="1"/>
  <c r="E213" i="7"/>
  <c r="E216" i="7" s="1"/>
  <c r="E133" i="7"/>
  <c r="E136" i="7" s="1"/>
  <c r="E233" i="7"/>
  <c r="E236" i="7" s="1"/>
  <c r="E173" i="7"/>
  <c r="E176" i="7" s="1"/>
  <c r="E183" i="7"/>
  <c r="E186" i="7" s="1"/>
  <c r="E103" i="7"/>
  <c r="E106" i="7" s="1"/>
  <c r="E63" i="7"/>
  <c r="E66" i="7" s="1"/>
  <c r="AD6" i="7"/>
  <c r="AN6" i="7"/>
  <c r="J65" i="6"/>
  <c r="Y40" i="8"/>
  <c r="J79" i="6"/>
  <c r="Y180" i="8"/>
  <c r="E192" i="7"/>
  <c r="E152" i="7"/>
  <c r="E102" i="7"/>
  <c r="E132" i="7"/>
  <c r="E232" i="7"/>
  <c r="E222" i="7"/>
  <c r="E82" i="7"/>
  <c r="E42" i="7"/>
  <c r="E92" i="7"/>
  <c r="E142" i="7"/>
  <c r="E162" i="7"/>
  <c r="E202" i="7"/>
  <c r="E52" i="7"/>
  <c r="E112" i="7"/>
  <c r="E212" i="7"/>
  <c r="E122" i="7"/>
  <c r="E62" i="7"/>
  <c r="E72" i="7"/>
  <c r="E172" i="7"/>
  <c r="E182" i="7"/>
  <c r="E153" i="7"/>
  <c r="E156" i="7" s="1"/>
  <c r="E163" i="7"/>
  <c r="E166" i="7" s="1"/>
  <c r="E113" i="7"/>
  <c r="E116" i="7" s="1"/>
  <c r="AM5" i="7"/>
  <c r="AC5" i="7"/>
  <c r="E123" i="7"/>
  <c r="E126" i="7" s="1"/>
  <c r="E53" i="7"/>
  <c r="E56" i="7" s="1"/>
  <c r="J72" i="9"/>
  <c r="Y90" i="10"/>
  <c r="J76" i="9"/>
  <c r="Y130" i="10"/>
  <c r="J67" i="9"/>
  <c r="Y40" i="10"/>
  <c r="Q91" i="8"/>
  <c r="R91" i="8" s="1"/>
  <c r="W91" i="8"/>
  <c r="Q211" i="8"/>
  <c r="R211" i="8" s="1"/>
  <c r="W211" i="8"/>
  <c r="Q131" i="8"/>
  <c r="R131" i="8" s="1"/>
  <c r="W131" i="8"/>
  <c r="Q61" i="8"/>
  <c r="R61" i="8" s="1"/>
  <c r="W61" i="8"/>
  <c r="Q111" i="8"/>
  <c r="R111" i="8" s="1"/>
  <c r="W111" i="8"/>
  <c r="Q231" i="8"/>
  <c r="R231" i="8" s="1"/>
  <c r="W231" i="8"/>
  <c r="Q51" i="8"/>
  <c r="R51" i="8" s="1"/>
  <c r="W51" i="8"/>
  <c r="Q161" i="8"/>
  <c r="R161" i="8" s="1"/>
  <c r="W161" i="8"/>
  <c r="Q81" i="8"/>
  <c r="R81" i="8" s="1"/>
  <c r="W81" i="8"/>
  <c r="Q71" i="8"/>
  <c r="R71" i="8" s="1"/>
  <c r="W71" i="8"/>
  <c r="Q101" i="8"/>
  <c r="R101" i="8" s="1"/>
  <c r="W101" i="8"/>
  <c r="Q201" i="8"/>
  <c r="R201" i="8" s="1"/>
  <c r="W201" i="8"/>
  <c r="Q221" i="8"/>
  <c r="R221" i="8" s="1"/>
  <c r="W221" i="8"/>
  <c r="Q141" i="8"/>
  <c r="R141" i="8" s="1"/>
  <c r="W141" i="8"/>
  <c r="Q171" i="8"/>
  <c r="R171" i="8" s="1"/>
  <c r="W171" i="8"/>
  <c r="Q181" i="8"/>
  <c r="R181" i="8" s="1"/>
  <c r="W181" i="8"/>
  <c r="Q41" i="8"/>
  <c r="R41" i="8" s="1"/>
  <c r="W41" i="8"/>
  <c r="Q121" i="8"/>
  <c r="R121" i="8" s="1"/>
  <c r="W121" i="8"/>
  <c r="Q151" i="8"/>
  <c r="R151" i="8" s="1"/>
  <c r="W151" i="8"/>
  <c r="Q191" i="8"/>
  <c r="R191" i="8" s="1"/>
  <c r="W191" i="8"/>
  <c r="Q221" i="10"/>
  <c r="R221" i="10" s="1"/>
  <c r="U221" i="10" s="1"/>
  <c r="V221" i="10" s="1"/>
  <c r="W221" i="10"/>
  <c r="Q191" i="10"/>
  <c r="R191" i="10" s="1"/>
  <c r="U191" i="10" s="1"/>
  <c r="V191" i="10" s="1"/>
  <c r="W191" i="10"/>
  <c r="Q231" i="10"/>
  <c r="R231" i="10" s="1"/>
  <c r="U231" i="10" s="1"/>
  <c r="V231" i="10" s="1"/>
  <c r="W231" i="10"/>
  <c r="Q161" i="10"/>
  <c r="R161" i="10" s="1"/>
  <c r="U161" i="10" s="1"/>
  <c r="V161" i="10" s="1"/>
  <c r="W161" i="10"/>
  <c r="Q181" i="10"/>
  <c r="R181" i="10" s="1"/>
  <c r="U181" i="10" s="1"/>
  <c r="V181" i="10" s="1"/>
  <c r="W181" i="10"/>
  <c r="Q101" i="10"/>
  <c r="R101" i="10" s="1"/>
  <c r="U101" i="10" s="1"/>
  <c r="V101" i="10" s="1"/>
  <c r="W101" i="10"/>
  <c r="Q111" i="10"/>
  <c r="R111" i="10" s="1"/>
  <c r="U111" i="10" s="1"/>
  <c r="V111" i="10" s="1"/>
  <c r="W111" i="10"/>
  <c r="Q171" i="10"/>
  <c r="R171" i="10" s="1"/>
  <c r="U171" i="10" s="1"/>
  <c r="V171" i="10" s="1"/>
  <c r="W171" i="10"/>
  <c r="Q141" i="10"/>
  <c r="R141" i="10" s="1"/>
  <c r="U141" i="10" s="1"/>
  <c r="V141" i="10" s="1"/>
  <c r="W141" i="10"/>
  <c r="Q201" i="10"/>
  <c r="R201" i="10" s="1"/>
  <c r="U201" i="10" s="1"/>
  <c r="V201" i="10" s="1"/>
  <c r="W201" i="10"/>
  <c r="Q131" i="10"/>
  <c r="R131" i="10" s="1"/>
  <c r="U131" i="10" s="1"/>
  <c r="V131" i="10" s="1"/>
  <c r="W131" i="10"/>
  <c r="Q151" i="10"/>
  <c r="R151" i="10" s="1"/>
  <c r="U151" i="10" s="1"/>
  <c r="V151" i="10" s="1"/>
  <c r="W151" i="10"/>
  <c r="Q211" i="10"/>
  <c r="R211" i="10" s="1"/>
  <c r="U211" i="10" s="1"/>
  <c r="V211" i="10" s="1"/>
  <c r="W211" i="10"/>
  <c r="Q121" i="10"/>
  <c r="R121" i="10" s="1"/>
  <c r="U121" i="10" s="1"/>
  <c r="V121" i="10" s="1"/>
  <c r="W121" i="10"/>
  <c r="Q71" i="10"/>
  <c r="R71" i="10" s="1"/>
  <c r="U71" i="10" s="1"/>
  <c r="V71" i="10" s="1"/>
  <c r="W71" i="10"/>
  <c r="Q41" i="10"/>
  <c r="R41" i="10" s="1"/>
  <c r="U41" i="10" s="1"/>
  <c r="V41" i="10" s="1"/>
  <c r="W41" i="10"/>
  <c r="Q51" i="10"/>
  <c r="R51" i="10" s="1"/>
  <c r="U51" i="10" s="1"/>
  <c r="V51" i="10" s="1"/>
  <c r="W51" i="10"/>
  <c r="Q61" i="10"/>
  <c r="R61" i="10" s="1"/>
  <c r="U61" i="10" s="1"/>
  <c r="V61" i="10" s="1"/>
  <c r="W61" i="10"/>
  <c r="Q91" i="10"/>
  <c r="R91" i="10" s="1"/>
  <c r="U91" i="10" s="1"/>
  <c r="V91" i="10" s="1"/>
  <c r="W91" i="10"/>
  <c r="Q81" i="10"/>
  <c r="R81" i="10" s="1"/>
  <c r="U81" i="10" s="1"/>
  <c r="V81" i="10" s="1"/>
  <c r="W81" i="10"/>
  <c r="J83" i="9"/>
  <c r="Y200" i="10"/>
  <c r="J77" i="9"/>
  <c r="Y140" i="10"/>
  <c r="D238" i="7"/>
  <c r="I58" i="5" s="1"/>
  <c r="N66" i="9"/>
  <c r="M64" i="6"/>
  <c r="AD22" i="10"/>
  <c r="AN22" i="10"/>
  <c r="Y34" i="8"/>
  <c r="F11" i="5"/>
  <c r="AD20" i="8"/>
  <c r="AN20" i="8"/>
  <c r="AD14" i="8"/>
  <c r="AN14" i="8"/>
  <c r="AN8" i="8"/>
  <c r="AD8" i="8"/>
  <c r="F12" i="6"/>
  <c r="J12" i="5"/>
  <c r="J15" i="9"/>
  <c r="N37" i="10"/>
  <c r="J36" i="7"/>
  <c r="N37" i="8"/>
  <c r="J13" i="6"/>
  <c r="I33" i="3"/>
  <c r="O226" i="10"/>
  <c r="O166" i="10"/>
  <c r="O186" i="10"/>
  <c r="O206" i="10"/>
  <c r="O176" i="10"/>
  <c r="O196" i="10"/>
  <c r="O236" i="10"/>
  <c r="O146" i="10"/>
  <c r="O106" i="10"/>
  <c r="O126" i="10"/>
  <c r="O216" i="10"/>
  <c r="O116" i="10"/>
  <c r="O136" i="10"/>
  <c r="O156" i="10"/>
  <c r="O66" i="10"/>
  <c r="O46" i="10"/>
  <c r="O56" i="10"/>
  <c r="O76" i="10"/>
  <c r="O86" i="10"/>
  <c r="O96" i="10"/>
  <c r="O236" i="8"/>
  <c r="O176" i="8"/>
  <c r="O186" i="8"/>
  <c r="O166" i="8"/>
  <c r="O226" i="8"/>
  <c r="O196" i="8"/>
  <c r="O106" i="8"/>
  <c r="O66" i="8"/>
  <c r="O206" i="8"/>
  <c r="O216" i="8"/>
  <c r="O96" i="8"/>
  <c r="O146" i="8"/>
  <c r="O116" i="8"/>
  <c r="O126" i="8"/>
  <c r="O86" i="8"/>
  <c r="O56" i="8"/>
  <c r="O46" i="8"/>
  <c r="O136" i="8"/>
  <c r="O76" i="8"/>
  <c r="O156" i="8"/>
  <c r="I21" i="9"/>
  <c r="I37" i="7"/>
  <c r="O36" i="10"/>
  <c r="O36" i="8"/>
  <c r="I19" i="6"/>
  <c r="I18" i="5"/>
  <c r="K43" i="8"/>
  <c r="Y32" i="10"/>
  <c r="L66" i="9"/>
  <c r="V35" i="10"/>
  <c r="W35" i="10"/>
  <c r="H38" i="7"/>
  <c r="H39" i="7"/>
  <c r="M43" i="8"/>
  <c r="N43" i="8" s="1"/>
  <c r="AN5" i="8"/>
  <c r="AD5" i="8"/>
  <c r="I115" i="7"/>
  <c r="I75" i="7"/>
  <c r="T196" i="10"/>
  <c r="T216" i="10"/>
  <c r="T156" i="10"/>
  <c r="T146" i="10"/>
  <c r="I8" i="5"/>
  <c r="I8" i="6"/>
  <c r="I35" i="7"/>
  <c r="T36" i="10"/>
  <c r="I10" i="9"/>
  <c r="I14" i="9" s="1"/>
  <c r="T36" i="8"/>
  <c r="T136" i="8"/>
  <c r="I65" i="7"/>
  <c r="T176" i="10"/>
  <c r="I155" i="7"/>
  <c r="I215" i="7"/>
  <c r="I125" i="7"/>
  <c r="I175" i="7"/>
  <c r="T96" i="10"/>
  <c r="I165" i="7"/>
  <c r="I145" i="7"/>
  <c r="I135" i="7"/>
  <c r="I225" i="7"/>
  <c r="I95" i="7"/>
  <c r="T236" i="10"/>
  <c r="I185" i="7"/>
  <c r="I45" i="7"/>
  <c r="I195" i="7"/>
  <c r="T166" i="10"/>
  <c r="T116" i="10"/>
  <c r="T56" i="10"/>
  <c r="T216" i="8"/>
  <c r="T76" i="8"/>
  <c r="I235" i="7"/>
  <c r="T226" i="10"/>
  <c r="T186" i="10"/>
  <c r="T56" i="8"/>
  <c r="I55" i="7"/>
  <c r="T76" i="10"/>
  <c r="T236" i="8"/>
  <c r="T206" i="8"/>
  <c r="T66" i="8"/>
  <c r="T206" i="10"/>
  <c r="T96" i="8"/>
  <c r="T126" i="8"/>
  <c r="T116" i="8"/>
  <c r="T46" i="10"/>
  <c r="T86" i="8"/>
  <c r="T226" i="8"/>
  <c r="T146" i="8"/>
  <c r="T166" i="8"/>
  <c r="T126" i="10"/>
  <c r="T176" i="8"/>
  <c r="T46" i="8"/>
  <c r="I105" i="7"/>
  <c r="I85" i="7"/>
  <c r="T86" i="10"/>
  <c r="T156" i="8"/>
  <c r="T106" i="8"/>
  <c r="T106" i="10"/>
  <c r="I205" i="7"/>
  <c r="T136" i="10"/>
  <c r="T66" i="10"/>
  <c r="T186" i="8"/>
  <c r="T196" i="8"/>
  <c r="V35" i="8"/>
  <c r="W35" i="8"/>
  <c r="L64" i="6"/>
  <c r="Y32" i="8"/>
  <c r="M222" i="10"/>
  <c r="N222" i="10" s="1"/>
  <c r="M232" i="10"/>
  <c r="N232" i="10" s="1"/>
  <c r="M182" i="10"/>
  <c r="N182" i="10" s="1"/>
  <c r="M172" i="10"/>
  <c r="N172" i="10" s="1"/>
  <c r="M192" i="10"/>
  <c r="N192" i="10" s="1"/>
  <c r="M212" i="10"/>
  <c r="N212" i="10" s="1"/>
  <c r="M162" i="10"/>
  <c r="N162" i="10" s="1"/>
  <c r="M202" i="10"/>
  <c r="N202" i="10" s="1"/>
  <c r="M122" i="10"/>
  <c r="N122" i="10" s="1"/>
  <c r="M62" i="10"/>
  <c r="N62" i="10" s="1"/>
  <c r="M142" i="10"/>
  <c r="N142" i="10" s="1"/>
  <c r="M112" i="10"/>
  <c r="N112" i="10" s="1"/>
  <c r="M132" i="10"/>
  <c r="N132" i="10" s="1"/>
  <c r="M102" i="10"/>
  <c r="N102" i="10" s="1"/>
  <c r="M52" i="10"/>
  <c r="N52" i="10" s="1"/>
  <c r="M82" i="10"/>
  <c r="N82" i="10" s="1"/>
  <c r="M152" i="10"/>
  <c r="N152" i="10" s="1"/>
  <c r="M42" i="10"/>
  <c r="N42" i="10" s="1"/>
  <c r="M72" i="10"/>
  <c r="N72" i="10" s="1"/>
  <c r="M92" i="10"/>
  <c r="N92" i="10" s="1"/>
  <c r="AM5" i="10"/>
  <c r="AC5" i="10"/>
  <c r="K222" i="10"/>
  <c r="K232" i="10"/>
  <c r="K172" i="10"/>
  <c r="K212" i="10"/>
  <c r="K162" i="10"/>
  <c r="K202" i="10"/>
  <c r="K42" i="10"/>
  <c r="K122" i="10"/>
  <c r="K142" i="10"/>
  <c r="K52" i="10"/>
  <c r="K112" i="10"/>
  <c r="K132" i="10"/>
  <c r="K192" i="10"/>
  <c r="K102" i="10"/>
  <c r="K182" i="10"/>
  <c r="K82" i="10"/>
  <c r="K92" i="10"/>
  <c r="K152" i="10"/>
  <c r="K72" i="10"/>
  <c r="K62" i="10"/>
  <c r="G9" i="5" a="1"/>
  <c r="G10" i="5" a="1"/>
  <c r="G11" i="6"/>
  <c r="G9" i="6" a="1"/>
  <c r="G10" i="6" a="1"/>
  <c r="Y33" i="10"/>
  <c r="M66" i="9"/>
  <c r="AE17" i="10"/>
  <c r="AO17" i="10"/>
  <c r="AF12" i="10"/>
  <c r="AP12" i="10"/>
  <c r="AE20" i="10"/>
  <c r="AO20" i="10"/>
  <c r="AF11" i="10"/>
  <c r="AP11" i="10"/>
  <c r="AE8" i="10"/>
  <c r="AO8" i="10"/>
  <c r="AO21" i="10"/>
  <c r="AE21" i="10"/>
  <c r="AE24" i="10"/>
  <c r="AO24" i="10"/>
  <c r="AO16" i="10"/>
  <c r="AE16" i="10"/>
  <c r="AE15" i="10"/>
  <c r="AO15" i="10"/>
  <c r="AE13" i="10"/>
  <c r="AO13" i="10"/>
  <c r="AD18" i="10"/>
  <c r="AN18" i="10"/>
  <c r="AE23" i="10"/>
  <c r="AO23" i="10"/>
  <c r="AO11" i="8"/>
  <c r="AE11" i="8"/>
  <c r="AO9" i="8"/>
  <c r="AE9" i="8"/>
  <c r="AE22" i="8"/>
  <c r="AO22" i="8"/>
  <c r="AE15" i="8"/>
  <c r="AO15" i="8"/>
  <c r="AE12" i="8"/>
  <c r="AO12" i="8"/>
  <c r="AE19" i="8"/>
  <c r="AO19" i="8"/>
  <c r="AE18" i="8"/>
  <c r="AO18" i="8"/>
  <c r="AE17" i="8"/>
  <c r="AO17" i="8"/>
  <c r="AO23" i="8"/>
  <c r="AE23" i="8"/>
  <c r="AE24" i="8"/>
  <c r="AO24" i="8"/>
  <c r="AE10" i="8"/>
  <c r="AO10" i="8"/>
  <c r="AO21" i="8"/>
  <c r="AE21" i="8"/>
  <c r="AD13" i="8"/>
  <c r="AN13" i="8"/>
  <c r="AE12" i="7"/>
  <c r="AO12" i="7"/>
  <c r="AE24" i="7"/>
  <c r="AO24" i="7"/>
  <c r="AE8" i="7"/>
  <c r="AO8" i="7"/>
  <c r="AE20" i="7"/>
  <c r="AO20" i="7"/>
  <c r="AE18" i="7"/>
  <c r="AO18" i="7"/>
  <c r="AE10" i="7"/>
  <c r="AO10" i="7"/>
  <c r="AE15" i="7"/>
  <c r="AO15" i="7"/>
  <c r="AE19" i="7"/>
  <c r="AO19" i="7"/>
  <c r="AO9" i="7"/>
  <c r="AE9" i="7"/>
  <c r="AO16" i="7"/>
  <c r="AE16" i="7"/>
  <c r="AE13" i="7"/>
  <c r="AO13" i="7"/>
  <c r="AE17" i="7"/>
  <c r="AO17" i="7"/>
  <c r="AO14" i="7"/>
  <c r="AE14" i="7"/>
  <c r="AE22" i="7"/>
  <c r="AO22" i="7"/>
  <c r="AE11" i="7"/>
  <c r="AO11" i="7"/>
  <c r="AO21" i="7"/>
  <c r="AE21" i="7"/>
  <c r="AE23" i="7"/>
  <c r="AO23" i="7"/>
  <c r="J36" i="10"/>
  <c r="Q36" i="10" s="1"/>
  <c r="R36" i="10" s="1"/>
  <c r="U35" i="10"/>
  <c r="J36" i="8"/>
  <c r="Q36" i="8" s="1"/>
  <c r="R36" i="8" s="1"/>
  <c r="U35" i="8"/>
  <c r="I34" i="3"/>
  <c r="J28" i="3"/>
  <c r="J10" i="3"/>
  <c r="J29" i="3" s="1"/>
  <c r="I35" i="3"/>
  <c r="L15" i="3"/>
  <c r="L30" i="3" s="1"/>
  <c r="K15" i="3"/>
  <c r="K30" i="3" s="1"/>
  <c r="J31" i="3"/>
  <c r="I29" i="4"/>
  <c r="H7" i="6"/>
  <c r="K4" i="4"/>
  <c r="K32" i="4"/>
  <c r="O63" i="6"/>
  <c r="H7" i="5"/>
  <c r="K8" i="4"/>
  <c r="AE16" i="8" l="1"/>
  <c r="AO16" i="8"/>
  <c r="AO9" i="10"/>
  <c r="AE9" i="10"/>
  <c r="AE14" i="10"/>
  <c r="AO14" i="10"/>
  <c r="AE19" i="10"/>
  <c r="AO19" i="10"/>
  <c r="AF10" i="10"/>
  <c r="AP10" i="10"/>
  <c r="E49" i="7" a="1"/>
  <c r="E47" i="7" a="1"/>
  <c r="E129" i="7" a="1"/>
  <c r="E127" i="7" a="1"/>
  <c r="E128" i="7" s="1"/>
  <c r="J47" i="5" s="1"/>
  <c r="E69" i="7" a="1"/>
  <c r="E67" i="7" a="1"/>
  <c r="E68" i="7" s="1"/>
  <c r="J41" i="5" s="1"/>
  <c r="E149" i="7" a="1"/>
  <c r="E147" i="7" a="1"/>
  <c r="E148" i="7" s="1"/>
  <c r="J49" i="5" s="1"/>
  <c r="E229" i="7" a="1"/>
  <c r="E227" i="7" a="1"/>
  <c r="E228" i="7" s="1"/>
  <c r="J57" i="5" s="1"/>
  <c r="AN7" i="10"/>
  <c r="AD7" i="10"/>
  <c r="AE7" i="7"/>
  <c r="AO7" i="7"/>
  <c r="AF7" i="8"/>
  <c r="AP7" i="8"/>
  <c r="E119" i="7" a="1"/>
  <c r="E117" i="7" a="1"/>
  <c r="E118" i="7" s="1"/>
  <c r="J46" i="5" s="1"/>
  <c r="E199" i="7" a="1"/>
  <c r="E197" i="7" a="1"/>
  <c r="E209" i="7" a="1"/>
  <c r="E207" i="7" a="1"/>
  <c r="E59" i="7" a="1"/>
  <c r="E57" i="7" a="1"/>
  <c r="E58" i="7" s="1"/>
  <c r="J40" i="5" s="1"/>
  <c r="K223" i="8"/>
  <c r="K73" i="8"/>
  <c r="K53" i="8"/>
  <c r="K83" i="8"/>
  <c r="K173" i="8"/>
  <c r="K193" i="8"/>
  <c r="K93" i="8"/>
  <c r="K123" i="8"/>
  <c r="K153" i="8"/>
  <c r="K183" i="8"/>
  <c r="K213" i="8"/>
  <c r="K233" i="8"/>
  <c r="K103" i="8"/>
  <c r="K133" i="8"/>
  <c r="K163" i="8"/>
  <c r="K63" i="8"/>
  <c r="K203" i="8"/>
  <c r="K113" i="8"/>
  <c r="K143" i="8"/>
  <c r="M53" i="8"/>
  <c r="N53" i="8" s="1"/>
  <c r="M213" i="8"/>
  <c r="N213" i="8" s="1"/>
  <c r="M143" i="8"/>
  <c r="N143" i="8" s="1"/>
  <c r="M123" i="8"/>
  <c r="N123" i="8" s="1"/>
  <c r="M153" i="8"/>
  <c r="N153" i="8" s="1"/>
  <c r="M183" i="8"/>
  <c r="N183" i="8" s="1"/>
  <c r="M83" i="8"/>
  <c r="N83" i="8" s="1"/>
  <c r="M233" i="8"/>
  <c r="N233" i="8" s="1"/>
  <c r="M163" i="8"/>
  <c r="N163" i="8" s="1"/>
  <c r="M103" i="8"/>
  <c r="N103" i="8" s="1"/>
  <c r="M133" i="8"/>
  <c r="N133" i="8" s="1"/>
  <c r="M63" i="8"/>
  <c r="N63" i="8" s="1"/>
  <c r="M203" i="8"/>
  <c r="N203" i="8" s="1"/>
  <c r="M173" i="8"/>
  <c r="N173" i="8" s="1"/>
  <c r="M223" i="8"/>
  <c r="N223" i="8" s="1"/>
  <c r="E99" i="7" a="1"/>
  <c r="E97" i="7" a="1"/>
  <c r="E98" i="7" s="1"/>
  <c r="AD6" i="8"/>
  <c r="AN6" i="8"/>
  <c r="AN6" i="10"/>
  <c r="AD6" i="10"/>
  <c r="M93" i="8"/>
  <c r="N93" i="8" s="1"/>
  <c r="M73" i="8"/>
  <c r="N73" i="8" s="1"/>
  <c r="M193" i="8"/>
  <c r="N193" i="8" s="1"/>
  <c r="M113" i="8"/>
  <c r="N113" i="8" s="1"/>
  <c r="X221" i="10"/>
  <c r="X171" i="10"/>
  <c r="E159" i="7" a="1"/>
  <c r="E157" i="7" a="1"/>
  <c r="E158" i="7" s="1"/>
  <c r="E189" i="7" a="1"/>
  <c r="E187" i="7" a="1"/>
  <c r="X41" i="10"/>
  <c r="E109" i="7" a="1"/>
  <c r="E107" i="7" a="1"/>
  <c r="E108" i="7" s="1"/>
  <c r="J45" i="5" s="1"/>
  <c r="E139" i="7" a="1"/>
  <c r="E137" i="7" a="1"/>
  <c r="E169" i="7" a="1"/>
  <c r="E167" i="7" a="1"/>
  <c r="E89" i="7" a="1"/>
  <c r="E87" i="7" a="1"/>
  <c r="E88" i="7" s="1"/>
  <c r="J43" i="5" s="1"/>
  <c r="X101" i="10"/>
  <c r="X61" i="10"/>
  <c r="E79" i="7" a="1"/>
  <c r="E77" i="7" a="1"/>
  <c r="E179" i="7" a="1"/>
  <c r="E177" i="7" a="1"/>
  <c r="E237" i="7" a="1"/>
  <c r="E239" i="7" a="1"/>
  <c r="E217" i="7" a="1"/>
  <c r="E219" i="7" a="1"/>
  <c r="F193" i="7"/>
  <c r="F196" i="7" s="1"/>
  <c r="F103" i="7"/>
  <c r="F106" i="7" s="1"/>
  <c r="F53" i="7"/>
  <c r="F56" i="7" s="1"/>
  <c r="F93" i="7"/>
  <c r="F96" i="7" s="1"/>
  <c r="F213" i="7"/>
  <c r="F216" i="7" s="1"/>
  <c r="F173" i="7"/>
  <c r="F176" i="7" s="1"/>
  <c r="F183" i="7"/>
  <c r="F186" i="7" s="1"/>
  <c r="F143" i="7"/>
  <c r="F146" i="7" s="1"/>
  <c r="F203" i="7"/>
  <c r="F206" i="7" s="1"/>
  <c r="F133" i="7"/>
  <c r="F136" i="7" s="1"/>
  <c r="F163" i="7"/>
  <c r="F166" i="7" s="1"/>
  <c r="F73" i="7"/>
  <c r="F76" i="7" s="1"/>
  <c r="F233" i="7"/>
  <c r="F236" i="7" s="1"/>
  <c r="F153" i="7"/>
  <c r="F156" i="7" s="1"/>
  <c r="F113" i="7"/>
  <c r="F116" i="7" s="1"/>
  <c r="F223" i="7"/>
  <c r="F226" i="7" s="1"/>
  <c r="F83" i="7"/>
  <c r="F86" i="7" s="1"/>
  <c r="F43" i="7"/>
  <c r="F46" i="7" s="1"/>
  <c r="F63" i="7"/>
  <c r="F66" i="7" s="1"/>
  <c r="F123" i="7"/>
  <c r="F126" i="7" s="1"/>
  <c r="F92" i="7"/>
  <c r="F82" i="7"/>
  <c r="F52" i="7"/>
  <c r="F152" i="7"/>
  <c r="F162" i="7"/>
  <c r="F192" i="7"/>
  <c r="F212" i="7"/>
  <c r="F132" i="7"/>
  <c r="F122" i="7"/>
  <c r="F72" i="7"/>
  <c r="F42" i="7"/>
  <c r="F222" i="7"/>
  <c r="F202" i="7"/>
  <c r="F232" i="7"/>
  <c r="F62" i="7"/>
  <c r="F112" i="7"/>
  <c r="F172" i="7"/>
  <c r="F182" i="7"/>
  <c r="F142" i="7"/>
  <c r="F102" i="7"/>
  <c r="X51" i="10"/>
  <c r="X151" i="10"/>
  <c r="X211" i="10"/>
  <c r="X71" i="10"/>
  <c r="U41" i="8"/>
  <c r="V41" i="8" s="1"/>
  <c r="X41" i="8" s="1"/>
  <c r="J42" i="8" a="1"/>
  <c r="Q42" i="8" s="1"/>
  <c r="R42" i="8" s="1"/>
  <c r="X91" i="10"/>
  <c r="X81" i="10"/>
  <c r="J42" i="10" a="1"/>
  <c r="U231" i="8"/>
  <c r="V231" i="8" s="1"/>
  <c r="X231" i="8" s="1"/>
  <c r="J232" i="8" a="1"/>
  <c r="X191" i="10"/>
  <c r="X231" i="10"/>
  <c r="X161" i="10"/>
  <c r="X181" i="10"/>
  <c r="X111" i="10"/>
  <c r="X141" i="10"/>
  <c r="X201" i="10"/>
  <c r="X131" i="10"/>
  <c r="X121" i="10"/>
  <c r="J222" i="10" a="1"/>
  <c r="J232" i="10" a="1"/>
  <c r="J172" i="10" a="1"/>
  <c r="J212" i="10" a="1"/>
  <c r="J162" i="10" a="1"/>
  <c r="J202" i="10" a="1"/>
  <c r="J122" i="10" a="1"/>
  <c r="J142" i="10" a="1"/>
  <c r="J52" i="10" a="1"/>
  <c r="J112" i="10" a="1"/>
  <c r="J132" i="10" a="1"/>
  <c r="J192" i="10" a="1"/>
  <c r="J102" i="10" a="1"/>
  <c r="J182" i="10" a="1"/>
  <c r="J82" i="10" a="1"/>
  <c r="J92" i="10" a="1"/>
  <c r="J152" i="10" a="1"/>
  <c r="J72" i="10" a="1"/>
  <c r="J62" i="10" a="1"/>
  <c r="AO6" i="7"/>
  <c r="AE6" i="7"/>
  <c r="U91" i="8"/>
  <c r="V91" i="8" s="1"/>
  <c r="X91" i="8" s="1"/>
  <c r="J92" i="8" a="1"/>
  <c r="U211" i="8"/>
  <c r="V211" i="8" s="1"/>
  <c r="X211" i="8" s="1"/>
  <c r="J212" i="8" a="1"/>
  <c r="U131" i="8"/>
  <c r="V131" i="8" s="1"/>
  <c r="X131" i="8" s="1"/>
  <c r="J132" i="8" a="1"/>
  <c r="U61" i="8"/>
  <c r="V61" i="8" s="1"/>
  <c r="X61" i="8" s="1"/>
  <c r="J62" i="8" a="1"/>
  <c r="U111" i="8"/>
  <c r="V111" i="8" s="1"/>
  <c r="X111" i="8" s="1"/>
  <c r="J112" i="8" a="1"/>
  <c r="U51" i="8"/>
  <c r="V51" i="8" s="1"/>
  <c r="X51" i="8" s="1"/>
  <c r="J52" i="8" a="1"/>
  <c r="U161" i="8"/>
  <c r="V161" i="8" s="1"/>
  <c r="X161" i="8" s="1"/>
  <c r="J162" i="8" a="1"/>
  <c r="U81" i="8"/>
  <c r="V81" i="8" s="1"/>
  <c r="X81" i="8" s="1"/>
  <c r="J82" i="8" a="1"/>
  <c r="U71" i="8"/>
  <c r="V71" i="8" s="1"/>
  <c r="X71" i="8" s="1"/>
  <c r="J72" i="8" a="1"/>
  <c r="U101" i="8"/>
  <c r="V101" i="8" s="1"/>
  <c r="X101" i="8" s="1"/>
  <c r="J102" i="8" a="1"/>
  <c r="U201" i="8"/>
  <c r="V201" i="8" s="1"/>
  <c r="X201" i="8" s="1"/>
  <c r="J202" i="8" a="1"/>
  <c r="U221" i="8"/>
  <c r="V221" i="8" s="1"/>
  <c r="X221" i="8" s="1"/>
  <c r="J222" i="8" a="1"/>
  <c r="U141" i="8"/>
  <c r="V141" i="8" s="1"/>
  <c r="X141" i="8" s="1"/>
  <c r="J142" i="8" a="1"/>
  <c r="U171" i="8"/>
  <c r="V171" i="8" s="1"/>
  <c r="X171" i="8" s="1"/>
  <c r="J172" i="8" a="1"/>
  <c r="U181" i="8"/>
  <c r="V181" i="8" s="1"/>
  <c r="X181" i="8" s="1"/>
  <c r="J182" i="8" a="1"/>
  <c r="U121" i="8"/>
  <c r="V121" i="8" s="1"/>
  <c r="X121" i="8" s="1"/>
  <c r="J122" i="8" a="1"/>
  <c r="U151" i="8"/>
  <c r="V151" i="8" s="1"/>
  <c r="X151" i="8" s="1"/>
  <c r="J152" i="8" a="1"/>
  <c r="J192" i="8" a="1"/>
  <c r="U191" i="8"/>
  <c r="V191" i="8" s="1"/>
  <c r="X191" i="8" s="1"/>
  <c r="AN5" i="7"/>
  <c r="AD5" i="7"/>
  <c r="W42" i="8"/>
  <c r="AE22" i="10"/>
  <c r="AO22" i="10"/>
  <c r="AE20" i="8"/>
  <c r="AO20" i="8"/>
  <c r="M38" i="5"/>
  <c r="G12" i="6"/>
  <c r="L13" i="6"/>
  <c r="N39" i="8"/>
  <c r="L12" i="5"/>
  <c r="L15" i="9"/>
  <c r="L36" i="7"/>
  <c r="N39" i="10"/>
  <c r="AE8" i="8"/>
  <c r="AO8" i="8"/>
  <c r="X35" i="8"/>
  <c r="V36" i="8"/>
  <c r="W36" i="8"/>
  <c r="K13" i="6"/>
  <c r="K12" i="5"/>
  <c r="K15" i="9"/>
  <c r="K36" i="7"/>
  <c r="N38" i="10"/>
  <c r="N38" i="8"/>
  <c r="J125" i="7"/>
  <c r="J185" i="7"/>
  <c r="J135" i="7"/>
  <c r="J95" i="7"/>
  <c r="T127" i="10"/>
  <c r="T57" i="10"/>
  <c r="T47" i="10"/>
  <c r="J8" i="5"/>
  <c r="J8" i="6"/>
  <c r="J35" i="7"/>
  <c r="T37" i="10"/>
  <c r="J10" i="9"/>
  <c r="J14" i="9" s="1"/>
  <c r="J55" i="7"/>
  <c r="J145" i="7"/>
  <c r="J45" i="7"/>
  <c r="J105" i="7"/>
  <c r="J205" i="7"/>
  <c r="J65" i="7"/>
  <c r="J215" i="7"/>
  <c r="J115" i="7"/>
  <c r="J75" i="7"/>
  <c r="T187" i="10"/>
  <c r="T157" i="10"/>
  <c r="J235" i="7"/>
  <c r="J165" i="7"/>
  <c r="T207" i="10"/>
  <c r="T217" i="8"/>
  <c r="T177" i="8"/>
  <c r="T187" i="8"/>
  <c r="J175" i="7"/>
  <c r="T137" i="10"/>
  <c r="T97" i="10"/>
  <c r="T117" i="8"/>
  <c r="T57" i="8"/>
  <c r="T217" i="10"/>
  <c r="T77" i="10"/>
  <c r="T87" i="10"/>
  <c r="T197" i="8"/>
  <c r="T127" i="8"/>
  <c r="T227" i="10"/>
  <c r="T167" i="10"/>
  <c r="J155" i="7"/>
  <c r="T197" i="10"/>
  <c r="T207" i="8"/>
  <c r="T107" i="8"/>
  <c r="T237" i="10"/>
  <c r="T107" i="10"/>
  <c r="T167" i="8"/>
  <c r="T77" i="8"/>
  <c r="J85" i="7"/>
  <c r="T227" i="8"/>
  <c r="T157" i="8"/>
  <c r="T147" i="10"/>
  <c r="T147" i="8"/>
  <c r="T137" i="8"/>
  <c r="T177" i="10"/>
  <c r="T87" i="8"/>
  <c r="J195" i="7"/>
  <c r="J225" i="7"/>
  <c r="T67" i="10"/>
  <c r="T237" i="8"/>
  <c r="T117" i="10"/>
  <c r="T97" i="8"/>
  <c r="T47" i="8"/>
  <c r="T37" i="8"/>
  <c r="T67" i="8"/>
  <c r="K44" i="8"/>
  <c r="AE14" i="8"/>
  <c r="AO14" i="8"/>
  <c r="V36" i="10"/>
  <c r="W36" i="10"/>
  <c r="M44" i="8"/>
  <c r="N44" i="8" s="1"/>
  <c r="AO5" i="8"/>
  <c r="AE5" i="8"/>
  <c r="X35" i="10"/>
  <c r="H9" i="5" a="1"/>
  <c r="H10" i="5" a="1"/>
  <c r="I39" i="7"/>
  <c r="I38" i="7"/>
  <c r="K163" i="10"/>
  <c r="K223" i="10"/>
  <c r="K233" i="10"/>
  <c r="K183" i="10"/>
  <c r="K173" i="10"/>
  <c r="K193" i="10"/>
  <c r="K43" i="10"/>
  <c r="K123" i="10"/>
  <c r="K213" i="10"/>
  <c r="K143" i="10"/>
  <c r="K203" i="10"/>
  <c r="K103" i="10"/>
  <c r="K113" i="10"/>
  <c r="K133" i="10"/>
  <c r="K53" i="10"/>
  <c r="K83" i="10"/>
  <c r="K63" i="10"/>
  <c r="K153" i="10"/>
  <c r="K93" i="10"/>
  <c r="K73" i="10"/>
  <c r="M223" i="10"/>
  <c r="N223" i="10" s="1"/>
  <c r="M233" i="10"/>
  <c r="N233" i="10" s="1"/>
  <c r="M183" i="10"/>
  <c r="N183" i="10" s="1"/>
  <c r="M103" i="10"/>
  <c r="N103" i="10" s="1"/>
  <c r="M173" i="10"/>
  <c r="N173" i="10" s="1"/>
  <c r="M203" i="10"/>
  <c r="N203" i="10" s="1"/>
  <c r="M193" i="10"/>
  <c r="N193" i="10" s="1"/>
  <c r="M163" i="10"/>
  <c r="N163" i="10" s="1"/>
  <c r="M133" i="10"/>
  <c r="N133" i="10" s="1"/>
  <c r="M43" i="10"/>
  <c r="N43" i="10" s="1"/>
  <c r="M123" i="10"/>
  <c r="N123" i="10" s="1"/>
  <c r="M213" i="10"/>
  <c r="N213" i="10" s="1"/>
  <c r="M143" i="10"/>
  <c r="N143" i="10" s="1"/>
  <c r="M113" i="10"/>
  <c r="N113" i="10" s="1"/>
  <c r="M53" i="10"/>
  <c r="N53" i="10" s="1"/>
  <c r="M83" i="10"/>
  <c r="N83" i="10" s="1"/>
  <c r="M153" i="10"/>
  <c r="N153" i="10" s="1"/>
  <c r="M63" i="10"/>
  <c r="N63" i="10" s="1"/>
  <c r="M73" i="10"/>
  <c r="N73" i="10" s="1"/>
  <c r="M93" i="10"/>
  <c r="N93" i="10" s="1"/>
  <c r="AN5" i="10"/>
  <c r="AD5" i="10"/>
  <c r="H11" i="6"/>
  <c r="H9" i="6" a="1"/>
  <c r="H10" i="6" a="1"/>
  <c r="G11" i="5"/>
  <c r="O227" i="10"/>
  <c r="O237" i="10"/>
  <c r="O217" i="10"/>
  <c r="O187" i="10"/>
  <c r="O107" i="10"/>
  <c r="O207" i="10"/>
  <c r="O177" i="10"/>
  <c r="O167" i="10"/>
  <c r="O137" i="10"/>
  <c r="O127" i="10"/>
  <c r="O197" i="10"/>
  <c r="O147" i="10"/>
  <c r="O117" i="10"/>
  <c r="O57" i="10"/>
  <c r="O47" i="10"/>
  <c r="O67" i="10"/>
  <c r="O157" i="10"/>
  <c r="O87" i="10"/>
  <c r="O77" i="10"/>
  <c r="O97" i="10"/>
  <c r="O237" i="8"/>
  <c r="O177" i="8"/>
  <c r="O167" i="8"/>
  <c r="O187" i="8"/>
  <c r="O207" i="8"/>
  <c r="O227" i="8"/>
  <c r="O47" i="8"/>
  <c r="O137" i="8"/>
  <c r="O157" i="8"/>
  <c r="O57" i="8"/>
  <c r="O217" i="8"/>
  <c r="O117" i="8"/>
  <c r="O77" i="8"/>
  <c r="O197" i="8"/>
  <c r="O67" i="8"/>
  <c r="O107" i="8"/>
  <c r="O147" i="8"/>
  <c r="O127" i="8"/>
  <c r="O87" i="8"/>
  <c r="O97" i="8"/>
  <c r="J21" i="9"/>
  <c r="J37" i="7"/>
  <c r="O37" i="10"/>
  <c r="J19" i="6"/>
  <c r="O37" i="8"/>
  <c r="J18" i="5"/>
  <c r="AF8" i="10"/>
  <c r="AP8" i="10"/>
  <c r="AF20" i="10"/>
  <c r="AP20" i="10"/>
  <c r="AF15" i="10"/>
  <c r="AP15" i="10"/>
  <c r="AG12" i="10"/>
  <c r="AQ12" i="10"/>
  <c r="AF24" i="10"/>
  <c r="AP24" i="10"/>
  <c r="AG11" i="10"/>
  <c r="AQ11" i="10"/>
  <c r="AP21" i="10"/>
  <c r="AF21" i="10"/>
  <c r="AG10" i="10"/>
  <c r="AQ10" i="10"/>
  <c r="AF17" i="10"/>
  <c r="AP17" i="10"/>
  <c r="AE18" i="10"/>
  <c r="AO18" i="10"/>
  <c r="AP9" i="10"/>
  <c r="AF9" i="10"/>
  <c r="AF16" i="10"/>
  <c r="AP16" i="10"/>
  <c r="AF23" i="10"/>
  <c r="AP23" i="10"/>
  <c r="AP14" i="10"/>
  <c r="AF14" i="10"/>
  <c r="AF19" i="10"/>
  <c r="AP19" i="10"/>
  <c r="AF13" i="10"/>
  <c r="AP13" i="10"/>
  <c r="AF15" i="8"/>
  <c r="AP15" i="8"/>
  <c r="AF18" i="8"/>
  <c r="AP18" i="8"/>
  <c r="AF22" i="8"/>
  <c r="AP22" i="8"/>
  <c r="AF10" i="8"/>
  <c r="AP10" i="8"/>
  <c r="AF23" i="8"/>
  <c r="AP23" i="8"/>
  <c r="AF17" i="8"/>
  <c r="AP17" i="8"/>
  <c r="AF19" i="8"/>
  <c r="AP19" i="8"/>
  <c r="AP9" i="8"/>
  <c r="AF9" i="8"/>
  <c r="AP21" i="8"/>
  <c r="AF21" i="8"/>
  <c r="AE13" i="8"/>
  <c r="AO13" i="8"/>
  <c r="AF12" i="8"/>
  <c r="AP12" i="8"/>
  <c r="AF24" i="8"/>
  <c r="AP24" i="8"/>
  <c r="AF11" i="8"/>
  <c r="AP11" i="8"/>
  <c r="AF21" i="7"/>
  <c r="AP21" i="7"/>
  <c r="AF16" i="7"/>
  <c r="AP16" i="7"/>
  <c r="AF20" i="7"/>
  <c r="AP20" i="7"/>
  <c r="AP9" i="7"/>
  <c r="AF9" i="7"/>
  <c r="AP19" i="7"/>
  <c r="AF19" i="7"/>
  <c r="AP14" i="7"/>
  <c r="AF14" i="7"/>
  <c r="AF17" i="7"/>
  <c r="AP17" i="7"/>
  <c r="AF15" i="7"/>
  <c r="AP15" i="7"/>
  <c r="AF24" i="7"/>
  <c r="AP24" i="7"/>
  <c r="AF22" i="7"/>
  <c r="AP22" i="7"/>
  <c r="AF18" i="7"/>
  <c r="AP18" i="7"/>
  <c r="AF11" i="7"/>
  <c r="AP11" i="7"/>
  <c r="AF8" i="7"/>
  <c r="AP8" i="7"/>
  <c r="AF23" i="7"/>
  <c r="AP23" i="7"/>
  <c r="AF13" i="7"/>
  <c r="AP13" i="7"/>
  <c r="AF10" i="7"/>
  <c r="AP10" i="7"/>
  <c r="AF12" i="7"/>
  <c r="AP12" i="7"/>
  <c r="J37" i="10"/>
  <c r="Q37" i="10" s="1"/>
  <c r="R37" i="10" s="1"/>
  <c r="U36" i="10"/>
  <c r="J37" i="8"/>
  <c r="Q37" i="8" s="1"/>
  <c r="R37" i="8" s="1"/>
  <c r="U36" i="8"/>
  <c r="I25" i="10"/>
  <c r="F16" i="9" s="1"/>
  <c r="J25" i="10"/>
  <c r="G16" i="9" s="1"/>
  <c r="J35" i="3"/>
  <c r="K28" i="3"/>
  <c r="K10" i="3"/>
  <c r="K29" i="3" s="1"/>
  <c r="K31" i="3"/>
  <c r="L31" i="3"/>
  <c r="J33" i="3"/>
  <c r="J34" i="3" s="1"/>
  <c r="I25" i="8"/>
  <c r="F14" i="6" s="1"/>
  <c r="I5" i="4"/>
  <c r="I25" i="7"/>
  <c r="F13" i="5" s="1"/>
  <c r="J29" i="4"/>
  <c r="J5" i="4" s="1"/>
  <c r="I7" i="6"/>
  <c r="I7" i="5"/>
  <c r="L4" i="4"/>
  <c r="L8" i="4"/>
  <c r="L32" i="4"/>
  <c r="P63" i="6"/>
  <c r="Q42" i="10" l="1"/>
  <c r="R42" i="10" s="1"/>
  <c r="W42" i="10"/>
  <c r="AP16" i="8"/>
  <c r="AF16" i="8"/>
  <c r="J50" i="5"/>
  <c r="K85" i="9"/>
  <c r="Y221" i="10"/>
  <c r="K80" i="9"/>
  <c r="Y171" i="10"/>
  <c r="E48" i="7"/>
  <c r="J39" i="5" s="1"/>
  <c r="F47" i="7" a="1"/>
  <c r="E208" i="7"/>
  <c r="J55" i="5" s="1"/>
  <c r="F207" i="7" a="1"/>
  <c r="K67" i="9"/>
  <c r="Y41" i="10"/>
  <c r="E138" i="7"/>
  <c r="J48" i="5" s="1"/>
  <c r="F137" i="7" a="1"/>
  <c r="K73" i="9"/>
  <c r="Y101" i="10"/>
  <c r="AE7" i="10"/>
  <c r="AO7" i="10"/>
  <c r="F49" i="7" a="1"/>
  <c r="E198" i="7"/>
  <c r="J54" i="5" s="1"/>
  <c r="F197" i="7" a="1"/>
  <c r="F198" i="7" s="1"/>
  <c r="AP7" i="7"/>
  <c r="AF7" i="7"/>
  <c r="AQ7" i="8"/>
  <c r="AG7" i="8"/>
  <c r="F199" i="7" a="1"/>
  <c r="F209" i="7" a="1"/>
  <c r="F109" i="7" a="1"/>
  <c r="K94" i="8"/>
  <c r="K214" i="8"/>
  <c r="K64" i="8"/>
  <c r="J44" i="5"/>
  <c r="F87" i="7" a="1"/>
  <c r="F88" i="7" s="1"/>
  <c r="K154" i="8"/>
  <c r="K124" i="8"/>
  <c r="K134" i="8"/>
  <c r="K114" i="8"/>
  <c r="K234" i="8"/>
  <c r="K164" i="8"/>
  <c r="K184" i="8"/>
  <c r="K54" i="8"/>
  <c r="K144" i="8"/>
  <c r="K174" i="8"/>
  <c r="K224" i="8"/>
  <c r="K204" i="8"/>
  <c r="K104" i="8"/>
  <c r="K74" i="8"/>
  <c r="K84" i="8"/>
  <c r="K194" i="8"/>
  <c r="M174" i="8"/>
  <c r="N174" i="8" s="1"/>
  <c r="M224" i="8"/>
  <c r="N224" i="8" s="1"/>
  <c r="M214" i="8"/>
  <c r="N214" i="8" s="1"/>
  <c r="M94" i="8"/>
  <c r="N94" i="8" s="1"/>
  <c r="M164" i="8"/>
  <c r="N164" i="8" s="1"/>
  <c r="M194" i="8"/>
  <c r="N194" i="8" s="1"/>
  <c r="M84" i="8"/>
  <c r="N84" i="8" s="1"/>
  <c r="M234" i="8"/>
  <c r="N234" i="8" s="1"/>
  <c r="M74" i="8"/>
  <c r="N74" i="8" s="1"/>
  <c r="M64" i="8"/>
  <c r="N64" i="8" s="1"/>
  <c r="M124" i="8"/>
  <c r="N124" i="8" s="1"/>
  <c r="M114" i="8"/>
  <c r="N114" i="8" s="1"/>
  <c r="M154" i="8"/>
  <c r="N154" i="8" s="1"/>
  <c r="M134" i="8"/>
  <c r="N134" i="8" s="1"/>
  <c r="M54" i="8"/>
  <c r="N54" i="8" s="1"/>
  <c r="M184" i="8"/>
  <c r="N184" i="8" s="1"/>
  <c r="M104" i="8"/>
  <c r="N104" i="8" s="1"/>
  <c r="M204" i="8"/>
  <c r="N204" i="8" s="1"/>
  <c r="M144" i="8"/>
  <c r="N144" i="8" s="1"/>
  <c r="K69" i="9"/>
  <c r="Y61" i="10"/>
  <c r="E78" i="7"/>
  <c r="J42" i="5" s="1"/>
  <c r="F77" i="7" a="1"/>
  <c r="F78" i="7" s="1"/>
  <c r="E218" i="7"/>
  <c r="J56" i="5" s="1"/>
  <c r="F217" i="7" a="1"/>
  <c r="F229" i="7" a="1"/>
  <c r="F227" i="7" a="1"/>
  <c r="K68" i="9"/>
  <c r="Y51" i="10"/>
  <c r="K78" i="9"/>
  <c r="Y151" i="10"/>
  <c r="Y71" i="10"/>
  <c r="K70" i="9"/>
  <c r="K72" i="9"/>
  <c r="Y91" i="10"/>
  <c r="K71" i="9"/>
  <c r="Y81" i="10"/>
  <c r="K83" i="9"/>
  <c r="Y201" i="10"/>
  <c r="K76" i="9"/>
  <c r="Y131" i="10"/>
  <c r="AO6" i="8"/>
  <c r="AE6" i="8"/>
  <c r="AO6" i="10"/>
  <c r="AE6" i="10"/>
  <c r="F147" i="7" a="1"/>
  <c r="F149" i="7" a="1"/>
  <c r="F189" i="7" a="1"/>
  <c r="F57" i="7" a="1"/>
  <c r="F58" i="7" s="1"/>
  <c r="F59" i="7" a="1"/>
  <c r="F79" i="7" a="1"/>
  <c r="F179" i="7" a="1"/>
  <c r="F107" i="7" a="1"/>
  <c r="F108" i="7" s="1"/>
  <c r="K45" i="5" s="1"/>
  <c r="E188" i="7"/>
  <c r="J53" i="5" s="1"/>
  <c r="F187" i="7" a="1"/>
  <c r="F129" i="7" a="1"/>
  <c r="F127" i="7" a="1"/>
  <c r="F128" i="7" s="1"/>
  <c r="F69" i="7" a="1"/>
  <c r="F67" i="7" a="1"/>
  <c r="F68" i="7" s="1"/>
  <c r="F117" i="7" a="1"/>
  <c r="F118" i="7" s="1"/>
  <c r="F119" i="7" a="1"/>
  <c r="E168" i="7"/>
  <c r="J51" i="5" s="1"/>
  <c r="F167" i="7" a="1"/>
  <c r="F177" i="7" a="1"/>
  <c r="F178" i="7" s="1"/>
  <c r="E178" i="7"/>
  <c r="J52" i="5" s="1"/>
  <c r="F89" i="7" a="1"/>
  <c r="F169" i="7" a="1"/>
  <c r="F139" i="7" a="1"/>
  <c r="F237" i="7" a="1"/>
  <c r="F238" i="7" s="1"/>
  <c r="E238" i="7"/>
  <c r="J58" i="5" s="1"/>
  <c r="K65" i="6"/>
  <c r="Y41" i="8"/>
  <c r="F99" i="7" a="1"/>
  <c r="F97" i="7" a="1"/>
  <c r="F157" i="7" a="1"/>
  <c r="F159" i="7" a="1"/>
  <c r="F239" i="7" a="1"/>
  <c r="F219" i="7" a="1"/>
  <c r="K84" i="9"/>
  <c r="Y211" i="10"/>
  <c r="K86" i="9"/>
  <c r="Y231" i="10"/>
  <c r="K79" i="9"/>
  <c r="Y161" i="10"/>
  <c r="K81" i="9"/>
  <c r="Y181" i="10"/>
  <c r="K74" i="9"/>
  <c r="Y111" i="10"/>
  <c r="K77" i="9"/>
  <c r="Y141" i="10"/>
  <c r="K75" i="9"/>
  <c r="Y121" i="10"/>
  <c r="F48" i="7"/>
  <c r="K39" i="5" s="1"/>
  <c r="F208" i="7"/>
  <c r="K55" i="5" s="1"/>
  <c r="F138" i="7"/>
  <c r="U42" i="8"/>
  <c r="V42" i="8" s="1"/>
  <c r="X42" i="8" s="1"/>
  <c r="J43" i="8" a="1"/>
  <c r="G63" i="7"/>
  <c r="G66" i="7" s="1"/>
  <c r="G43" i="7"/>
  <c r="G46" i="7" s="1"/>
  <c r="G203" i="7"/>
  <c r="G206" i="7" s="1"/>
  <c r="G113" i="7"/>
  <c r="G116" i="7" s="1"/>
  <c r="G173" i="7"/>
  <c r="G176" i="7" s="1"/>
  <c r="G103" i="7"/>
  <c r="G106" i="7" s="1"/>
  <c r="G123" i="7"/>
  <c r="G126" i="7" s="1"/>
  <c r="G153" i="7"/>
  <c r="G156" i="7" s="1"/>
  <c r="G233" i="7"/>
  <c r="G236" i="7" s="1"/>
  <c r="G223" i="7"/>
  <c r="G226" i="7" s="1"/>
  <c r="G83" i="7"/>
  <c r="G86" i="7" s="1"/>
  <c r="G93" i="7"/>
  <c r="G96" i="7" s="1"/>
  <c r="G143" i="7"/>
  <c r="G146" i="7" s="1"/>
  <c r="G193" i="7"/>
  <c r="G196" i="7" s="1"/>
  <c r="G53" i="7"/>
  <c r="G56" i="7" s="1"/>
  <c r="G213" i="7"/>
  <c r="G216" i="7" s="1"/>
  <c r="G183" i="7"/>
  <c r="G186" i="7" s="1"/>
  <c r="G73" i="7"/>
  <c r="G76" i="7" s="1"/>
  <c r="G133" i="7"/>
  <c r="G136" i="7" s="1"/>
  <c r="G163" i="7"/>
  <c r="G166" i="7" s="1"/>
  <c r="G232" i="7"/>
  <c r="G212" i="7"/>
  <c r="K84" i="6"/>
  <c r="Y231" i="8"/>
  <c r="Q232" i="8"/>
  <c r="R232" i="8" s="1"/>
  <c r="W232" i="8"/>
  <c r="K82" i="9"/>
  <c r="Y191" i="10"/>
  <c r="Y51" i="8"/>
  <c r="K66" i="6"/>
  <c r="Y61" i="8"/>
  <c r="K67" i="6"/>
  <c r="Y111" i="8"/>
  <c r="K72" i="6"/>
  <c r="Y161" i="8"/>
  <c r="K77" i="6"/>
  <c r="K69" i="6"/>
  <c r="Y81" i="8"/>
  <c r="Y101" i="8"/>
  <c r="K71" i="6"/>
  <c r="Q152" i="8"/>
  <c r="R152" i="8" s="1"/>
  <c r="W152" i="8"/>
  <c r="W192" i="8"/>
  <c r="Q192" i="8"/>
  <c r="R192" i="8" s="1"/>
  <c r="K83" i="6"/>
  <c r="Y221" i="8"/>
  <c r="W222" i="10"/>
  <c r="Q222" i="10"/>
  <c r="R222" i="10" s="1"/>
  <c r="Q232" i="10"/>
  <c r="R232" i="10" s="1"/>
  <c r="W232" i="10"/>
  <c r="Q172" i="10"/>
  <c r="R172" i="10" s="1"/>
  <c r="W172" i="10"/>
  <c r="Q212" i="10"/>
  <c r="R212" i="10" s="1"/>
  <c r="W212" i="10"/>
  <c r="Q162" i="10"/>
  <c r="R162" i="10" s="1"/>
  <c r="W162" i="10"/>
  <c r="Q202" i="10"/>
  <c r="R202" i="10" s="1"/>
  <c r="W202" i="10"/>
  <c r="Q122" i="10"/>
  <c r="R122" i="10" s="1"/>
  <c r="W122" i="10"/>
  <c r="Q142" i="10"/>
  <c r="R142" i="10" s="1"/>
  <c r="W142" i="10"/>
  <c r="Q52" i="10"/>
  <c r="R52" i="10" s="1"/>
  <c r="W52" i="10"/>
  <c r="Q112" i="10"/>
  <c r="R112" i="10" s="1"/>
  <c r="W112" i="10"/>
  <c r="Q132" i="10"/>
  <c r="R132" i="10" s="1"/>
  <c r="W132" i="10"/>
  <c r="Q192" i="10"/>
  <c r="R192" i="10" s="1"/>
  <c r="W192" i="10"/>
  <c r="Q102" i="10"/>
  <c r="R102" i="10" s="1"/>
  <c r="W102" i="10"/>
  <c r="Q182" i="10"/>
  <c r="R182" i="10" s="1"/>
  <c r="W182" i="10"/>
  <c r="Q82" i="10"/>
  <c r="R82" i="10" s="1"/>
  <c r="W82" i="10"/>
  <c r="Q92" i="10"/>
  <c r="R92" i="10" s="1"/>
  <c r="W92" i="10"/>
  <c r="Q152" i="10"/>
  <c r="R152" i="10" s="1"/>
  <c r="W152" i="10"/>
  <c r="Q72" i="10"/>
  <c r="R72" i="10" s="1"/>
  <c r="W72" i="10"/>
  <c r="Q62" i="10"/>
  <c r="R62" i="10" s="1"/>
  <c r="W62" i="10"/>
  <c r="AP6" i="7"/>
  <c r="AF6" i="7"/>
  <c r="Q92" i="8"/>
  <c r="R92" i="8" s="1"/>
  <c r="W92" i="8"/>
  <c r="Q212" i="8"/>
  <c r="R212" i="8" s="1"/>
  <c r="W212" i="8"/>
  <c r="Q132" i="8"/>
  <c r="R132" i="8" s="1"/>
  <c r="W132" i="8"/>
  <c r="W62" i="8"/>
  <c r="Q62" i="8"/>
  <c r="R62" i="8" s="1"/>
  <c r="W112" i="8"/>
  <c r="Q112" i="8"/>
  <c r="R112" i="8" s="1"/>
  <c r="W52" i="8"/>
  <c r="Q52" i="8"/>
  <c r="R52" i="8" s="1"/>
  <c r="W162" i="8"/>
  <c r="Q162" i="8"/>
  <c r="R162" i="8" s="1"/>
  <c r="W82" i="8"/>
  <c r="Q82" i="8"/>
  <c r="R82" i="8" s="1"/>
  <c r="Q72" i="8"/>
  <c r="R72" i="8" s="1"/>
  <c r="W72" i="8"/>
  <c r="W102" i="8"/>
  <c r="Q102" i="8"/>
  <c r="R102" i="8" s="1"/>
  <c r="W202" i="8"/>
  <c r="Q202" i="8"/>
  <c r="R202" i="8" s="1"/>
  <c r="W222" i="8"/>
  <c r="Q222" i="8"/>
  <c r="R222" i="8" s="1"/>
  <c r="Q142" i="8"/>
  <c r="R142" i="8" s="1"/>
  <c r="W142" i="8"/>
  <c r="Q172" i="8"/>
  <c r="R172" i="8" s="1"/>
  <c r="W172" i="8"/>
  <c r="W182" i="8"/>
  <c r="Q182" i="8"/>
  <c r="R182" i="8" s="1"/>
  <c r="K73" i="6"/>
  <c r="Y121" i="8"/>
  <c r="W122" i="8"/>
  <c r="Q122" i="8"/>
  <c r="R122" i="8" s="1"/>
  <c r="Y191" i="8"/>
  <c r="K80" i="6"/>
  <c r="Y71" i="8"/>
  <c r="K68" i="6"/>
  <c r="Y201" i="8"/>
  <c r="K81" i="6"/>
  <c r="Y141" i="8"/>
  <c r="K75" i="6"/>
  <c r="K78" i="6"/>
  <c r="Y171" i="8"/>
  <c r="K79" i="6"/>
  <c r="Y181" i="8"/>
  <c r="K76" i="6"/>
  <c r="Y151" i="8"/>
  <c r="K70" i="6"/>
  <c r="Y91" i="8"/>
  <c r="Y211" i="8"/>
  <c r="K82" i="6"/>
  <c r="K74" i="6"/>
  <c r="Y131" i="8"/>
  <c r="AO5" i="7"/>
  <c r="AE5" i="7"/>
  <c r="G62" i="7"/>
  <c r="G122" i="7"/>
  <c r="G52" i="7"/>
  <c r="G102" i="7"/>
  <c r="G132" i="7"/>
  <c r="G72" i="7"/>
  <c r="G42" i="7"/>
  <c r="G202" i="7"/>
  <c r="G112" i="7"/>
  <c r="G172" i="7"/>
  <c r="G182" i="7"/>
  <c r="G142" i="7"/>
  <c r="G92" i="7"/>
  <c r="G152" i="7"/>
  <c r="G162" i="7"/>
  <c r="G192" i="7"/>
  <c r="G222" i="7"/>
  <c r="G82" i="7"/>
  <c r="AF22" i="10"/>
  <c r="AP22" i="10"/>
  <c r="AF20" i="8"/>
  <c r="AP20" i="8"/>
  <c r="X36" i="10"/>
  <c r="H12" i="6"/>
  <c r="X36" i="8"/>
  <c r="Y36" i="8" s="1"/>
  <c r="I9" i="5" a="1"/>
  <c r="I10" i="5" a="1"/>
  <c r="I11" i="6"/>
  <c r="I9" i="6" a="1"/>
  <c r="I10" i="6" a="1"/>
  <c r="K224" i="10"/>
  <c r="K184" i="10"/>
  <c r="K204" i="10"/>
  <c r="K104" i="10"/>
  <c r="K164" i="10"/>
  <c r="K174" i="10"/>
  <c r="K194" i="10"/>
  <c r="K234" i="10"/>
  <c r="K144" i="10"/>
  <c r="K134" i="10"/>
  <c r="K214" i="10"/>
  <c r="K114" i="10"/>
  <c r="K124" i="10"/>
  <c r="K54" i="10"/>
  <c r="K74" i="10"/>
  <c r="K154" i="10"/>
  <c r="K44" i="10"/>
  <c r="K64" i="10"/>
  <c r="K84" i="10"/>
  <c r="K94" i="10"/>
  <c r="H11" i="5"/>
  <c r="AF8" i="8"/>
  <c r="AP8" i="8"/>
  <c r="M234" i="10"/>
  <c r="N234" i="10" s="1"/>
  <c r="M194" i="10"/>
  <c r="N194" i="10" s="1"/>
  <c r="M184" i="10"/>
  <c r="N184" i="10" s="1"/>
  <c r="M224" i="10"/>
  <c r="N224" i="10" s="1"/>
  <c r="M164" i="10"/>
  <c r="N164" i="10" s="1"/>
  <c r="M114" i="10"/>
  <c r="N114" i="10" s="1"/>
  <c r="M124" i="10"/>
  <c r="N124" i="10" s="1"/>
  <c r="M144" i="10"/>
  <c r="N144" i="10" s="1"/>
  <c r="M134" i="10"/>
  <c r="N134" i="10" s="1"/>
  <c r="M174" i="10"/>
  <c r="N174" i="10" s="1"/>
  <c r="M204" i="10"/>
  <c r="N204" i="10" s="1"/>
  <c r="M214" i="10"/>
  <c r="N214" i="10" s="1"/>
  <c r="M104" i="10"/>
  <c r="N104" i="10" s="1"/>
  <c r="M94" i="10"/>
  <c r="N94" i="10" s="1"/>
  <c r="M54" i="10"/>
  <c r="N54" i="10" s="1"/>
  <c r="M74" i="10"/>
  <c r="N74" i="10" s="1"/>
  <c r="M154" i="10"/>
  <c r="N154" i="10" s="1"/>
  <c r="M44" i="10"/>
  <c r="N44" i="10" s="1"/>
  <c r="M84" i="10"/>
  <c r="N84" i="10" s="1"/>
  <c r="M64" i="10"/>
  <c r="N64" i="10" s="1"/>
  <c r="AE5" i="10"/>
  <c r="AO5" i="10"/>
  <c r="AP14" i="8"/>
  <c r="AF14" i="8"/>
  <c r="V37" i="10"/>
  <c r="W37" i="10"/>
  <c r="J39" i="7"/>
  <c r="J38" i="7"/>
  <c r="Y35" i="10"/>
  <c r="O66" i="9"/>
  <c r="O229" i="10"/>
  <c r="O169" i="10"/>
  <c r="O179" i="10"/>
  <c r="O199" i="10"/>
  <c r="O219" i="10"/>
  <c r="O239" i="10"/>
  <c r="O209" i="10"/>
  <c r="O109" i="10"/>
  <c r="O119" i="10"/>
  <c r="O139" i="10"/>
  <c r="O189" i="10"/>
  <c r="O129" i="10"/>
  <c r="O49" i="10"/>
  <c r="O79" i="10"/>
  <c r="O159" i="10"/>
  <c r="O59" i="10"/>
  <c r="O69" i="10"/>
  <c r="O149" i="10"/>
  <c r="O89" i="10"/>
  <c r="O179" i="8"/>
  <c r="O169" i="8"/>
  <c r="O189" i="8"/>
  <c r="O99" i="10"/>
  <c r="O229" i="8"/>
  <c r="O199" i="8"/>
  <c r="O239" i="8"/>
  <c r="O219" i="8"/>
  <c r="O139" i="8"/>
  <c r="O119" i="8"/>
  <c r="O129" i="8"/>
  <c r="O109" i="8"/>
  <c r="O209" i="8"/>
  <c r="O159" i="8"/>
  <c r="O69" i="8"/>
  <c r="O149" i="8"/>
  <c r="O49" i="8"/>
  <c r="O89" i="8"/>
  <c r="O99" i="8"/>
  <c r="O79" i="8"/>
  <c r="O59" i="8"/>
  <c r="L18" i="5"/>
  <c r="O39" i="8"/>
  <c r="L21" i="9"/>
  <c r="L37" i="7"/>
  <c r="O39" i="10"/>
  <c r="L19" i="6"/>
  <c r="K45" i="8"/>
  <c r="M45" i="8"/>
  <c r="N45" i="8" s="1"/>
  <c r="AF5" i="8"/>
  <c r="AP5" i="8"/>
  <c r="O238" i="10"/>
  <c r="O178" i="10"/>
  <c r="O168" i="10"/>
  <c r="O228" i="10"/>
  <c r="O218" i="10"/>
  <c r="O188" i="10"/>
  <c r="O208" i="10"/>
  <c r="O108" i="10"/>
  <c r="O198" i="10"/>
  <c r="O138" i="10"/>
  <c r="O128" i="10"/>
  <c r="O118" i="10"/>
  <c r="O148" i="10"/>
  <c r="O78" i="10"/>
  <c r="O48" i="10"/>
  <c r="O58" i="10"/>
  <c r="O158" i="10"/>
  <c r="O68" i="10"/>
  <c r="O88" i="10"/>
  <c r="O98" i="10"/>
  <c r="O238" i="8"/>
  <c r="O178" i="8"/>
  <c r="O188" i="8"/>
  <c r="O168" i="8"/>
  <c r="O228" i="8"/>
  <c r="O198" i="8"/>
  <c r="O58" i="8"/>
  <c r="O138" i="8"/>
  <c r="O218" i="8"/>
  <c r="O148" i="8"/>
  <c r="O118" i="8"/>
  <c r="O88" i="8"/>
  <c r="O78" i="8"/>
  <c r="O108" i="8"/>
  <c r="O208" i="8"/>
  <c r="O158" i="8"/>
  <c r="O48" i="8"/>
  <c r="O128" i="8"/>
  <c r="O68" i="8"/>
  <c r="O38" i="8"/>
  <c r="K18" i="5"/>
  <c r="O98" i="8"/>
  <c r="K21" i="9"/>
  <c r="K37" i="7"/>
  <c r="O38" i="10"/>
  <c r="K19" i="6"/>
  <c r="K165" i="7"/>
  <c r="T38" i="8"/>
  <c r="K8" i="5"/>
  <c r="K8" i="6"/>
  <c r="K35" i="7"/>
  <c r="K10" i="9"/>
  <c r="K14" i="9" s="1"/>
  <c r="K175" i="7"/>
  <c r="K185" i="7"/>
  <c r="K65" i="7"/>
  <c r="T108" i="10"/>
  <c r="K115" i="7"/>
  <c r="K155" i="7"/>
  <c r="T88" i="10"/>
  <c r="K135" i="7"/>
  <c r="K195" i="7"/>
  <c r="T68" i="10"/>
  <c r="K95" i="7"/>
  <c r="K235" i="7"/>
  <c r="T138" i="8"/>
  <c r="T58" i="10"/>
  <c r="K125" i="7"/>
  <c r="K55" i="7"/>
  <c r="K205" i="7"/>
  <c r="K45" i="7"/>
  <c r="K105" i="7"/>
  <c r="K85" i="7"/>
  <c r="T228" i="8"/>
  <c r="T208" i="8"/>
  <c r="T98" i="8"/>
  <c r="T238" i="10"/>
  <c r="T178" i="10"/>
  <c r="T198" i="8"/>
  <c r="K75" i="7"/>
  <c r="T208" i="10"/>
  <c r="T198" i="10"/>
  <c r="T218" i="10"/>
  <c r="T128" i="10"/>
  <c r="T78" i="10"/>
  <c r="T68" i="8"/>
  <c r="T138" i="10"/>
  <c r="T178" i="8"/>
  <c r="T118" i="8"/>
  <c r="T218" i="8"/>
  <c r="T78" i="8"/>
  <c r="K145" i="7"/>
  <c r="T188" i="10"/>
  <c r="T118" i="10"/>
  <c r="T148" i="10"/>
  <c r="T158" i="8"/>
  <c r="K225" i="7"/>
  <c r="T228" i="10"/>
  <c r="T148" i="8"/>
  <c r="T88" i="8"/>
  <c r="T58" i="8"/>
  <c r="T158" i="10"/>
  <c r="T98" i="10"/>
  <c r="T238" i="8"/>
  <c r="T168" i="8"/>
  <c r="T48" i="8"/>
  <c r="T48" i="10"/>
  <c r="T188" i="8"/>
  <c r="T108" i="8"/>
  <c r="T168" i="10"/>
  <c r="K215" i="7"/>
  <c r="T128" i="8"/>
  <c r="T38" i="10"/>
  <c r="N38" i="5"/>
  <c r="Y35" i="8"/>
  <c r="O64" i="6"/>
  <c r="V37" i="8"/>
  <c r="W37" i="8"/>
  <c r="AG24" i="10"/>
  <c r="AQ24" i="10"/>
  <c r="AQ19" i="10"/>
  <c r="AG19" i="10"/>
  <c r="AQ14" i="10"/>
  <c r="AG14" i="10"/>
  <c r="AG23" i="10"/>
  <c r="AQ23" i="10"/>
  <c r="AG15" i="10"/>
  <c r="AQ15" i="10"/>
  <c r="AG16" i="10"/>
  <c r="AQ16" i="10"/>
  <c r="AG20" i="10"/>
  <c r="AQ20" i="10"/>
  <c r="AG17" i="10"/>
  <c r="AQ17" i="10"/>
  <c r="AG21" i="10"/>
  <c r="AQ21" i="10"/>
  <c r="AG13" i="10"/>
  <c r="AQ13" i="10"/>
  <c r="AH11" i="10"/>
  <c r="AR11" i="10"/>
  <c r="AG8" i="10"/>
  <c r="AQ8" i="10"/>
  <c r="AF18" i="10"/>
  <c r="AP18" i="10"/>
  <c r="AR12" i="10"/>
  <c r="AH12" i="10"/>
  <c r="AH10" i="10"/>
  <c r="AR10" i="10"/>
  <c r="AG9" i="10"/>
  <c r="AQ9" i="10"/>
  <c r="AG22" i="8"/>
  <c r="AQ22" i="8"/>
  <c r="AG18" i="8"/>
  <c r="AQ18" i="8"/>
  <c r="AG24" i="8"/>
  <c r="AQ24" i="8"/>
  <c r="AF13" i="8"/>
  <c r="AP13" i="8"/>
  <c r="AG17" i="8"/>
  <c r="AQ17" i="8"/>
  <c r="AG23" i="8"/>
  <c r="AQ23" i="8"/>
  <c r="AG15" i="8"/>
  <c r="AQ15" i="8"/>
  <c r="AG12" i="8"/>
  <c r="AQ12" i="8"/>
  <c r="AQ21" i="8"/>
  <c r="AG21" i="8"/>
  <c r="AG11" i="8"/>
  <c r="AQ11" i="8"/>
  <c r="AG10" i="8"/>
  <c r="AQ10" i="8"/>
  <c r="AQ19" i="8"/>
  <c r="AG19" i="8"/>
  <c r="AQ9" i="8"/>
  <c r="AG9" i="8"/>
  <c r="AG10" i="7"/>
  <c r="AQ10" i="7"/>
  <c r="AG22" i="7"/>
  <c r="AQ22" i="7"/>
  <c r="AQ19" i="7"/>
  <c r="AG19" i="7"/>
  <c r="AG9" i="7"/>
  <c r="AQ9" i="7"/>
  <c r="AG18" i="7"/>
  <c r="AQ18" i="7"/>
  <c r="AG23" i="7"/>
  <c r="AQ23" i="7"/>
  <c r="AG15" i="7"/>
  <c r="AQ15" i="7"/>
  <c r="AG20" i="7"/>
  <c r="AQ20" i="7"/>
  <c r="AQ12" i="7"/>
  <c r="AG12" i="7"/>
  <c r="AQ24" i="7"/>
  <c r="AG24" i="7"/>
  <c r="AG8" i="7"/>
  <c r="AQ8" i="7"/>
  <c r="AG17" i="7"/>
  <c r="AQ17" i="7"/>
  <c r="AG16" i="7"/>
  <c r="AQ16" i="7"/>
  <c r="AG13" i="7"/>
  <c r="AQ13" i="7"/>
  <c r="AG11" i="7"/>
  <c r="AQ11" i="7"/>
  <c r="AG21" i="7"/>
  <c r="AQ21" i="7"/>
  <c r="AG14" i="7"/>
  <c r="AQ14" i="7"/>
  <c r="G24" i="9"/>
  <c r="G22" i="6"/>
  <c r="G21" i="5"/>
  <c r="G20" i="5" s="1" a="1"/>
  <c r="F24" i="9"/>
  <c r="F22" i="6"/>
  <c r="F21" i="5"/>
  <c r="F20" i="5" s="1" a="1"/>
  <c r="U37" i="10"/>
  <c r="J38" i="10"/>
  <c r="Q38" i="10" s="1"/>
  <c r="R38" i="10" s="1"/>
  <c r="U37" i="8"/>
  <c r="J38" i="8"/>
  <c r="Q38" i="8" s="1"/>
  <c r="R38" i="8" s="1"/>
  <c r="K33" i="3"/>
  <c r="K34" i="3" s="1"/>
  <c r="L28" i="3"/>
  <c r="L10" i="3"/>
  <c r="L29" i="3" s="1"/>
  <c r="K35" i="3"/>
  <c r="L33" i="3"/>
  <c r="J25" i="8"/>
  <c r="G14" i="6" s="1"/>
  <c r="K29" i="4"/>
  <c r="K5" i="4" s="1"/>
  <c r="J25" i="7"/>
  <c r="G13" i="5" s="1"/>
  <c r="J7" i="6"/>
  <c r="M32" i="4"/>
  <c r="J7" i="5"/>
  <c r="Q63" i="6"/>
  <c r="M4" i="4"/>
  <c r="M8" i="4"/>
  <c r="U42" i="10" l="1"/>
  <c r="V42" i="10" s="1"/>
  <c r="X42" i="10" s="1"/>
  <c r="J43" i="10" a="1"/>
  <c r="Q43" i="10" s="1"/>
  <c r="R43" i="10" s="1"/>
  <c r="K47" i="5"/>
  <c r="K52" i="5"/>
  <c r="AG16" i="8"/>
  <c r="AQ16" i="8"/>
  <c r="K41" i="5"/>
  <c r="K54" i="5"/>
  <c r="Y36" i="10"/>
  <c r="P66" i="9"/>
  <c r="AF7" i="10"/>
  <c r="AP7" i="10"/>
  <c r="H102" i="7"/>
  <c r="H212" i="7"/>
  <c r="H232" i="7"/>
  <c r="H222" i="7"/>
  <c r="H92" i="7"/>
  <c r="AQ7" i="7"/>
  <c r="AG7" i="7"/>
  <c r="AH7" i="8"/>
  <c r="AR7" i="8"/>
  <c r="K46" i="5"/>
  <c r="M55" i="8"/>
  <c r="N55" i="8" s="1"/>
  <c r="M65" i="8"/>
  <c r="N65" i="8" s="1"/>
  <c r="M155" i="8"/>
  <c r="N155" i="8" s="1"/>
  <c r="M85" i="8"/>
  <c r="N85" i="8" s="1"/>
  <c r="K105" i="8"/>
  <c r="K115" i="8"/>
  <c r="K145" i="8"/>
  <c r="K225" i="8"/>
  <c r="K185" i="8"/>
  <c r="K215" i="8"/>
  <c r="K95" i="8"/>
  <c r="K125" i="8"/>
  <c r="K85" i="8"/>
  <c r="K165" i="8"/>
  <c r="K195" i="8"/>
  <c r="K75" i="8"/>
  <c r="K235" i="8"/>
  <c r="H192" i="7"/>
  <c r="H202" i="7"/>
  <c r="H122" i="7"/>
  <c r="G219" i="7" a="1"/>
  <c r="H132" i="7"/>
  <c r="H62" i="7"/>
  <c r="H72" i="7"/>
  <c r="H42" i="7"/>
  <c r="H112" i="7"/>
  <c r="H172" i="7"/>
  <c r="G149" i="7" a="1"/>
  <c r="G229" i="7" a="1"/>
  <c r="F218" i="7"/>
  <c r="K56" i="5" s="1"/>
  <c r="G217" i="7" a="1"/>
  <c r="F228" i="7"/>
  <c r="K57" i="5" s="1"/>
  <c r="G227" i="7" a="1"/>
  <c r="M195" i="8"/>
  <c r="N195" i="8" s="1"/>
  <c r="M175" i="8"/>
  <c r="N175" i="8" s="1"/>
  <c r="M75" i="8"/>
  <c r="N75" i="8" s="1"/>
  <c r="M105" i="8"/>
  <c r="N105" i="8" s="1"/>
  <c r="M225" i="8"/>
  <c r="N225" i="8" s="1"/>
  <c r="M135" i="8"/>
  <c r="N135" i="8" s="1"/>
  <c r="M165" i="8"/>
  <c r="N165" i="8" s="1"/>
  <c r="M205" i="8"/>
  <c r="N205" i="8" s="1"/>
  <c r="M235" i="8"/>
  <c r="N235" i="8" s="1"/>
  <c r="M115" i="8"/>
  <c r="N115" i="8" s="1"/>
  <c r="M145" i="8"/>
  <c r="N145" i="8" s="1"/>
  <c r="M185" i="8"/>
  <c r="N185" i="8" s="1"/>
  <c r="M215" i="8"/>
  <c r="N215" i="8" s="1"/>
  <c r="M125" i="8"/>
  <c r="N125" i="8" s="1"/>
  <c r="M95" i="8"/>
  <c r="N95" i="8" s="1"/>
  <c r="K135" i="8"/>
  <c r="K175" i="8"/>
  <c r="K65" i="8"/>
  <c r="K155" i="8"/>
  <c r="K205" i="8"/>
  <c r="K55" i="8"/>
  <c r="F148" i="7"/>
  <c r="K49" i="5" s="1"/>
  <c r="G147" i="7" a="1"/>
  <c r="G148" i="7" s="1"/>
  <c r="F188" i="7"/>
  <c r="K53" i="5" s="1"/>
  <c r="G187" i="7" a="1"/>
  <c r="G188" i="7" s="1"/>
  <c r="AP6" i="8"/>
  <c r="AF6" i="8"/>
  <c r="AP6" i="10"/>
  <c r="AF6" i="10"/>
  <c r="K40" i="5"/>
  <c r="Q43" i="8"/>
  <c r="R43" i="8" s="1"/>
  <c r="W43" i="8"/>
  <c r="F168" i="7"/>
  <c r="K51" i="5" s="1"/>
  <c r="G167" i="7" a="1"/>
  <c r="G168" i="7" s="1"/>
  <c r="F98" i="7"/>
  <c r="K44" i="5" s="1"/>
  <c r="G97" i="7" a="1"/>
  <c r="H97" i="7" s="1" a="1"/>
  <c r="K42" i="5"/>
  <c r="K48" i="5"/>
  <c r="K43" i="5"/>
  <c r="G189" i="7" a="1"/>
  <c r="G169" i="7" a="1"/>
  <c r="G99" i="7" a="1"/>
  <c r="G159" i="7" a="1"/>
  <c r="F158" i="7"/>
  <c r="K50" i="5" s="1"/>
  <c r="G157" i="7" a="1"/>
  <c r="G158" i="7" s="1"/>
  <c r="K58" i="5"/>
  <c r="W43" i="10"/>
  <c r="G239" i="7" a="1"/>
  <c r="G237" i="7" a="1"/>
  <c r="H237" i="7" s="1" a="1"/>
  <c r="G67" i="7" a="1"/>
  <c r="G69" i="7" a="1"/>
  <c r="G127" i="7" a="1"/>
  <c r="H127" i="7" s="1" a="1"/>
  <c r="G129" i="7" a="1"/>
  <c r="G57" i="7" a="1"/>
  <c r="G59" i="7" a="1"/>
  <c r="G107" i="7" a="1"/>
  <c r="G108" i="7" s="1"/>
  <c r="G109" i="7" a="1"/>
  <c r="G137" i="7" a="1"/>
  <c r="H137" i="7" s="1" a="1"/>
  <c r="G139" i="7" a="1"/>
  <c r="G77" i="7" a="1"/>
  <c r="H77" i="7" s="1" a="1"/>
  <c r="G79" i="7" a="1"/>
  <c r="G47" i="7" a="1"/>
  <c r="H47" i="7" s="1" a="1"/>
  <c r="G49" i="7" a="1"/>
  <c r="G207" i="7" a="1"/>
  <c r="H209" i="7" s="1" a="1"/>
  <c r="G209" i="7" a="1"/>
  <c r="G117" i="7" a="1"/>
  <c r="H117" i="7" s="1" a="1"/>
  <c r="G119" i="7" a="1"/>
  <c r="G177" i="7" a="1"/>
  <c r="H177" i="7" s="1" a="1"/>
  <c r="G179" i="7" a="1"/>
  <c r="G197" i="7" a="1"/>
  <c r="G199" i="7" a="1"/>
  <c r="G87" i="7" a="1"/>
  <c r="G89" i="7" a="1"/>
  <c r="H219" i="7" a="1"/>
  <c r="Y42" i="8"/>
  <c r="L65" i="6"/>
  <c r="H182" i="7"/>
  <c r="H142" i="7"/>
  <c r="H82" i="7"/>
  <c r="H52" i="7"/>
  <c r="H152" i="7"/>
  <c r="H162" i="7"/>
  <c r="J233" i="8" a="1"/>
  <c r="U232" i="8"/>
  <c r="V232" i="8" s="1"/>
  <c r="X232" i="8" s="1"/>
  <c r="J153" i="8" a="1"/>
  <c r="U152" i="8"/>
  <c r="V152" i="8" s="1"/>
  <c r="X152" i="8" s="1"/>
  <c r="J193" i="8" a="1"/>
  <c r="U192" i="8"/>
  <c r="V192" i="8" s="1"/>
  <c r="X192" i="8" s="1"/>
  <c r="J223" i="10" a="1"/>
  <c r="U222" i="10"/>
  <c r="V222" i="10" s="1"/>
  <c r="X222" i="10" s="1"/>
  <c r="J233" i="10" a="1"/>
  <c r="U232" i="10"/>
  <c r="V232" i="10" s="1"/>
  <c r="X232" i="10" s="1"/>
  <c r="U172" i="10"/>
  <c r="V172" i="10" s="1"/>
  <c r="X172" i="10" s="1"/>
  <c r="J173" i="10" a="1"/>
  <c r="J213" i="10" a="1"/>
  <c r="U212" i="10"/>
  <c r="V212" i="10" s="1"/>
  <c r="X212" i="10" s="1"/>
  <c r="U162" i="10"/>
  <c r="V162" i="10" s="1"/>
  <c r="X162" i="10" s="1"/>
  <c r="J163" i="10" a="1"/>
  <c r="U202" i="10"/>
  <c r="V202" i="10" s="1"/>
  <c r="X202" i="10" s="1"/>
  <c r="J203" i="10" a="1"/>
  <c r="U122" i="10"/>
  <c r="V122" i="10" s="1"/>
  <c r="X122" i="10" s="1"/>
  <c r="J123" i="10" a="1"/>
  <c r="J143" i="10" a="1"/>
  <c r="U142" i="10"/>
  <c r="V142" i="10" s="1"/>
  <c r="X142" i="10" s="1"/>
  <c r="J53" i="10" a="1"/>
  <c r="U52" i="10"/>
  <c r="V52" i="10" s="1"/>
  <c r="X52" i="10" s="1"/>
  <c r="J113" i="10" a="1"/>
  <c r="U112" i="10"/>
  <c r="V112" i="10" s="1"/>
  <c r="X112" i="10" s="1"/>
  <c r="J133" i="10" a="1"/>
  <c r="U132" i="10"/>
  <c r="V132" i="10" s="1"/>
  <c r="X132" i="10" s="1"/>
  <c r="U192" i="10"/>
  <c r="V192" i="10" s="1"/>
  <c r="X192" i="10" s="1"/>
  <c r="J193" i="10" a="1"/>
  <c r="J103" i="10" a="1"/>
  <c r="U102" i="10"/>
  <c r="V102" i="10" s="1"/>
  <c r="X102" i="10" s="1"/>
  <c r="J183" i="10" a="1"/>
  <c r="U182" i="10"/>
  <c r="V182" i="10" s="1"/>
  <c r="X182" i="10" s="1"/>
  <c r="U82" i="10"/>
  <c r="V82" i="10" s="1"/>
  <c r="X82" i="10" s="1"/>
  <c r="J83" i="10" a="1"/>
  <c r="U92" i="10"/>
  <c r="V92" i="10" s="1"/>
  <c r="X92" i="10" s="1"/>
  <c r="J93" i="10" a="1"/>
  <c r="U152" i="10"/>
  <c r="V152" i="10" s="1"/>
  <c r="X152" i="10" s="1"/>
  <c r="J153" i="10" a="1"/>
  <c r="U72" i="10"/>
  <c r="V72" i="10" s="1"/>
  <c r="X72" i="10" s="1"/>
  <c r="J73" i="10" a="1"/>
  <c r="U62" i="10"/>
  <c r="V62" i="10" s="1"/>
  <c r="X62" i="10" s="1"/>
  <c r="J63" i="10" a="1"/>
  <c r="J93" i="8" a="1"/>
  <c r="U92" i="8"/>
  <c r="V92" i="8" s="1"/>
  <c r="X92" i="8" s="1"/>
  <c r="U212" i="8"/>
  <c r="V212" i="8" s="1"/>
  <c r="X212" i="8" s="1"/>
  <c r="J213" i="8" a="1"/>
  <c r="U132" i="8"/>
  <c r="V132" i="8" s="1"/>
  <c r="X132" i="8" s="1"/>
  <c r="J133" i="8" a="1"/>
  <c r="J63" i="8" a="1"/>
  <c r="U62" i="8"/>
  <c r="V62" i="8" s="1"/>
  <c r="X62" i="8" s="1"/>
  <c r="J113" i="8" a="1"/>
  <c r="U112" i="8"/>
  <c r="V112" i="8" s="1"/>
  <c r="X112" i="8" s="1"/>
  <c r="U52" i="8"/>
  <c r="V52" i="8" s="1"/>
  <c r="X52" i="8" s="1"/>
  <c r="J53" i="8" a="1"/>
  <c r="J163" i="8" a="1"/>
  <c r="U162" i="8"/>
  <c r="V162" i="8" s="1"/>
  <c r="X162" i="8" s="1"/>
  <c r="J83" i="8" a="1"/>
  <c r="U82" i="8"/>
  <c r="V82" i="8" s="1"/>
  <c r="X82" i="8" s="1"/>
  <c r="U72" i="8"/>
  <c r="V72" i="8" s="1"/>
  <c r="X72" i="8" s="1"/>
  <c r="J73" i="8" a="1"/>
  <c r="J103" i="8" a="1"/>
  <c r="U102" i="8"/>
  <c r="V102" i="8" s="1"/>
  <c r="X102" i="8" s="1"/>
  <c r="J203" i="8" a="1"/>
  <c r="U202" i="8"/>
  <c r="V202" i="8" s="1"/>
  <c r="X202" i="8" s="1"/>
  <c r="J223" i="8" a="1"/>
  <c r="U222" i="8"/>
  <c r="V222" i="8" s="1"/>
  <c r="X222" i="8" s="1"/>
  <c r="U142" i="8"/>
  <c r="V142" i="8" s="1"/>
  <c r="X142" i="8" s="1"/>
  <c r="J143" i="8" a="1"/>
  <c r="U172" i="8"/>
  <c r="V172" i="8" s="1"/>
  <c r="X172" i="8" s="1"/>
  <c r="J173" i="8" a="1"/>
  <c r="U182" i="8"/>
  <c r="V182" i="8" s="1"/>
  <c r="X182" i="8" s="1"/>
  <c r="J183" i="8" a="1"/>
  <c r="U122" i="8"/>
  <c r="V122" i="8" s="1"/>
  <c r="X122" i="8" s="1"/>
  <c r="J123" i="8" a="1"/>
  <c r="H67" i="7" a="1"/>
  <c r="AG6" i="7"/>
  <c r="AQ6" i="7"/>
  <c r="G58" i="7"/>
  <c r="L40" i="5" s="1"/>
  <c r="H203" i="7"/>
  <c r="H206" i="7" s="1"/>
  <c r="H63" i="7"/>
  <c r="H66" i="7" s="1"/>
  <c r="H123" i="7"/>
  <c r="H126" i="7" s="1"/>
  <c r="H113" i="7"/>
  <c r="H116" i="7" s="1"/>
  <c r="H133" i="7"/>
  <c r="H136" i="7" s="1"/>
  <c r="AF5" i="7"/>
  <c r="H163" i="7"/>
  <c r="H166" i="7" s="1"/>
  <c r="H213" i="7"/>
  <c r="H216" i="7" s="1"/>
  <c r="H233" i="7"/>
  <c r="H236" i="7" s="1"/>
  <c r="H223" i="7"/>
  <c r="H226" i="7" s="1"/>
  <c r="H43" i="7"/>
  <c r="H46" i="7" s="1"/>
  <c r="H73" i="7"/>
  <c r="H76" i="7" s="1"/>
  <c r="H193" i="7"/>
  <c r="H196" i="7" s="1"/>
  <c r="H153" i="7"/>
  <c r="H156" i="7" s="1"/>
  <c r="AP5" i="7"/>
  <c r="H53" i="7"/>
  <c r="H56" i="7" s="1"/>
  <c r="H83" i="7"/>
  <c r="H86" i="7" s="1"/>
  <c r="H93" i="7"/>
  <c r="H96" i="7" s="1"/>
  <c r="H143" i="7"/>
  <c r="H146" i="7" s="1"/>
  <c r="H173" i="7"/>
  <c r="H176" i="7" s="1"/>
  <c r="H183" i="7"/>
  <c r="H186" i="7" s="1"/>
  <c r="H103" i="7"/>
  <c r="H106" i="7" s="1"/>
  <c r="AQ22" i="10"/>
  <c r="AG22" i="10"/>
  <c r="C47" i="5"/>
  <c r="D47" i="5" s="1"/>
  <c r="AG20" i="8"/>
  <c r="AQ20" i="8"/>
  <c r="X37" i="8"/>
  <c r="C46" i="5"/>
  <c r="F46" i="5" s="1"/>
  <c r="X37" i="10"/>
  <c r="Y37" i="10" s="1"/>
  <c r="P64" i="6"/>
  <c r="AQ7" i="10"/>
  <c r="AG7" i="10"/>
  <c r="J11" i="6"/>
  <c r="J9" i="6" a="1"/>
  <c r="J10" i="6" a="1"/>
  <c r="C48" i="5"/>
  <c r="W38" i="10"/>
  <c r="V38" i="10"/>
  <c r="C58" i="5"/>
  <c r="AQ14" i="8"/>
  <c r="AG14" i="8"/>
  <c r="C44" i="5"/>
  <c r="K39" i="7"/>
  <c r="K38" i="7"/>
  <c r="C45" i="5"/>
  <c r="W38" i="8"/>
  <c r="V38" i="8"/>
  <c r="I12" i="6"/>
  <c r="L45" i="7"/>
  <c r="L75" i="7"/>
  <c r="T169" i="10"/>
  <c r="T109" i="10"/>
  <c r="T119" i="10"/>
  <c r="T69" i="10"/>
  <c r="L10" i="9"/>
  <c r="L14" i="9" s="1"/>
  <c r="T39" i="10"/>
  <c r="L8" i="5"/>
  <c r="T39" i="8"/>
  <c r="L8" i="6"/>
  <c r="L35" i="7"/>
  <c r="L145" i="7"/>
  <c r="T79" i="10"/>
  <c r="T239" i="10"/>
  <c r="L55" i="7"/>
  <c r="L155" i="7"/>
  <c r="L105" i="7"/>
  <c r="L125" i="7"/>
  <c r="L65" i="7"/>
  <c r="L175" i="7"/>
  <c r="L225" i="7"/>
  <c r="L215" i="7"/>
  <c r="T179" i="10"/>
  <c r="T99" i="10"/>
  <c r="L85" i="7"/>
  <c r="L235" i="7"/>
  <c r="L185" i="7"/>
  <c r="L115" i="7"/>
  <c r="T149" i="8"/>
  <c r="T189" i="10"/>
  <c r="T89" i="10"/>
  <c r="T169" i="8"/>
  <c r="T99" i="8"/>
  <c r="L195" i="7"/>
  <c r="T129" i="8"/>
  <c r="T219" i="10"/>
  <c r="T159" i="10"/>
  <c r="T49" i="10"/>
  <c r="T159" i="8"/>
  <c r="T129" i="10"/>
  <c r="T119" i="8"/>
  <c r="T69" i="8"/>
  <c r="L135" i="7"/>
  <c r="L205" i="7"/>
  <c r="T209" i="8"/>
  <c r="T79" i="8"/>
  <c r="T229" i="10"/>
  <c r="T209" i="10"/>
  <c r="L165" i="7"/>
  <c r="T59" i="10"/>
  <c r="T229" i="8"/>
  <c r="T239" i="8"/>
  <c r="T199" i="8"/>
  <c r="T179" i="8"/>
  <c r="T199" i="10"/>
  <c r="T189" i="8"/>
  <c r="T109" i="8"/>
  <c r="T89" i="8"/>
  <c r="T59" i="8"/>
  <c r="T149" i="10"/>
  <c r="T139" i="10"/>
  <c r="L95" i="7"/>
  <c r="T219" i="8"/>
  <c r="T139" i="8"/>
  <c r="T49" i="8"/>
  <c r="M235" i="10"/>
  <c r="N235" i="10" s="1"/>
  <c r="M165" i="10"/>
  <c r="N165" i="10" s="1"/>
  <c r="M105" i="10"/>
  <c r="N105" i="10" s="1"/>
  <c r="M175" i="10"/>
  <c r="N175" i="10" s="1"/>
  <c r="M225" i="10"/>
  <c r="N225" i="10" s="1"/>
  <c r="M215" i="10"/>
  <c r="N215" i="10" s="1"/>
  <c r="M185" i="10"/>
  <c r="N185" i="10" s="1"/>
  <c r="M195" i="10"/>
  <c r="N195" i="10" s="1"/>
  <c r="M115" i="10"/>
  <c r="N115" i="10" s="1"/>
  <c r="M155" i="10"/>
  <c r="N155" i="10" s="1"/>
  <c r="M145" i="10"/>
  <c r="N145" i="10" s="1"/>
  <c r="M205" i="10"/>
  <c r="N205" i="10" s="1"/>
  <c r="M135" i="10"/>
  <c r="N135" i="10" s="1"/>
  <c r="M125" i="10"/>
  <c r="N125" i="10" s="1"/>
  <c r="M85" i="10"/>
  <c r="N85" i="10" s="1"/>
  <c r="M55" i="10"/>
  <c r="N55" i="10" s="1"/>
  <c r="M45" i="10"/>
  <c r="N45" i="10" s="1"/>
  <c r="M65" i="10"/>
  <c r="N65" i="10" s="1"/>
  <c r="M95" i="10"/>
  <c r="N95" i="10" s="1"/>
  <c r="M75" i="10"/>
  <c r="N75" i="10" s="1"/>
  <c r="AP5" i="10"/>
  <c r="AF5" i="10"/>
  <c r="C55" i="5"/>
  <c r="C56" i="5"/>
  <c r="K225" i="10"/>
  <c r="K235" i="10"/>
  <c r="K175" i="10"/>
  <c r="K215" i="10"/>
  <c r="K185" i="10"/>
  <c r="K165" i="10"/>
  <c r="K195" i="10"/>
  <c r="K115" i="10"/>
  <c r="K145" i="10"/>
  <c r="K205" i="10"/>
  <c r="K135" i="10"/>
  <c r="K65" i="10"/>
  <c r="K125" i="10"/>
  <c r="K105" i="10"/>
  <c r="K155" i="10"/>
  <c r="K55" i="10"/>
  <c r="K45" i="10"/>
  <c r="K75" i="10"/>
  <c r="K85" i="10"/>
  <c r="K95" i="10"/>
  <c r="M46" i="8"/>
  <c r="N46" i="8" s="1"/>
  <c r="AQ5" i="8"/>
  <c r="AG5" i="8"/>
  <c r="AG8" i="8"/>
  <c r="AQ8" i="8"/>
  <c r="C49" i="5"/>
  <c r="I11" i="5"/>
  <c r="K46" i="8"/>
  <c r="O38" i="5"/>
  <c r="C51" i="5"/>
  <c r="J9" i="5" a="1"/>
  <c r="J10" i="5" a="1"/>
  <c r="AH14" i="10"/>
  <c r="AR14" i="10"/>
  <c r="AH23" i="10"/>
  <c r="AR23" i="10"/>
  <c r="AH16" i="10"/>
  <c r="AR16" i="10"/>
  <c r="AI10" i="10"/>
  <c r="AS10" i="10"/>
  <c r="AH17" i="10"/>
  <c r="AR17" i="10"/>
  <c r="AH21" i="10"/>
  <c r="AR21" i="10"/>
  <c r="AH20" i="10"/>
  <c r="AR20" i="10"/>
  <c r="AI11" i="10"/>
  <c r="AS11" i="10"/>
  <c r="AR19" i="10"/>
  <c r="AH19" i="10"/>
  <c r="AG18" i="10"/>
  <c r="AQ18" i="10"/>
  <c r="AH8" i="10"/>
  <c r="AR8" i="10"/>
  <c r="AH9" i="10"/>
  <c r="AR9" i="10"/>
  <c r="AH13" i="10"/>
  <c r="AR13" i="10"/>
  <c r="AH15" i="10"/>
  <c r="AR15" i="10"/>
  <c r="AR24" i="10"/>
  <c r="AH24" i="10"/>
  <c r="AS12" i="10"/>
  <c r="AI12" i="10"/>
  <c r="AH15" i="8"/>
  <c r="AR15" i="8"/>
  <c r="AH10" i="8"/>
  <c r="AR10" i="8"/>
  <c r="AR12" i="8"/>
  <c r="AH12" i="8"/>
  <c r="AH11" i="8"/>
  <c r="AR11" i="8"/>
  <c r="AH18" i="8"/>
  <c r="AR18" i="8"/>
  <c r="AG13" i="8"/>
  <c r="AQ13" i="8"/>
  <c r="AR24" i="8"/>
  <c r="AH24" i="8"/>
  <c r="AH23" i="8"/>
  <c r="AR23" i="8"/>
  <c r="AH22" i="8"/>
  <c r="AR22" i="8"/>
  <c r="AR19" i="8"/>
  <c r="AH19" i="8"/>
  <c r="AH17" i="8"/>
  <c r="AR17" i="8"/>
  <c r="AH9" i="8"/>
  <c r="AR9" i="8"/>
  <c r="AH21" i="8"/>
  <c r="AR21" i="8"/>
  <c r="AH11" i="7"/>
  <c r="AR11" i="7"/>
  <c r="AH9" i="7"/>
  <c r="AR9" i="7"/>
  <c r="AR24" i="7"/>
  <c r="AH24" i="7"/>
  <c r="AH23" i="7"/>
  <c r="AR23" i="7"/>
  <c r="AH13" i="7"/>
  <c r="AR13" i="7"/>
  <c r="AH8" i="7"/>
  <c r="AR8" i="7"/>
  <c r="AR12" i="7"/>
  <c r="AH12" i="7"/>
  <c r="AH19" i="7"/>
  <c r="AR19" i="7"/>
  <c r="AH18" i="7"/>
  <c r="AR18" i="7"/>
  <c r="AH20" i="7"/>
  <c r="AR20" i="7"/>
  <c r="AH22" i="7"/>
  <c r="AR22" i="7"/>
  <c r="AR17" i="7"/>
  <c r="AH17" i="7"/>
  <c r="AH14" i="7"/>
  <c r="AR14" i="7"/>
  <c r="AH16" i="7"/>
  <c r="AR16" i="7"/>
  <c r="AH15" i="7"/>
  <c r="AR15" i="7"/>
  <c r="AH10" i="7"/>
  <c r="AR10" i="7"/>
  <c r="AH21" i="7"/>
  <c r="AR21" i="7"/>
  <c r="H24" i="9"/>
  <c r="H22" i="6"/>
  <c r="H21" i="5"/>
  <c r="H20" i="5" s="1" a="1"/>
  <c r="U38" i="10"/>
  <c r="J39" i="10"/>
  <c r="Q39" i="10" s="1"/>
  <c r="R39" i="10" s="1"/>
  <c r="U39" i="10" s="1"/>
  <c r="U38" i="8"/>
  <c r="J39" i="8"/>
  <c r="Q39" i="8" s="1"/>
  <c r="R39" i="8" s="1"/>
  <c r="U39" i="8" s="1"/>
  <c r="L34" i="3"/>
  <c r="K25" i="10"/>
  <c r="H16" i="9" s="1"/>
  <c r="L35" i="3"/>
  <c r="K25" i="8"/>
  <c r="H14" i="6" s="1"/>
  <c r="L29" i="4"/>
  <c r="K7" i="6"/>
  <c r="N4" i="4"/>
  <c r="N8" i="4"/>
  <c r="K7" i="5"/>
  <c r="N32" i="4"/>
  <c r="R63" i="6"/>
  <c r="K25" i="7"/>
  <c r="H13" i="5" s="1"/>
  <c r="H217" i="7" l="1" a="1"/>
  <c r="G218" i="7"/>
  <c r="L56" i="5" s="1"/>
  <c r="L67" i="9"/>
  <c r="Y42" i="10"/>
  <c r="AR16" i="8"/>
  <c r="AH16" i="8"/>
  <c r="G88" i="7"/>
  <c r="L43" i="5" s="1"/>
  <c r="H87" i="7" a="1"/>
  <c r="H88" i="7" s="1"/>
  <c r="Q64" i="6"/>
  <c r="Y37" i="8"/>
  <c r="H57" i="7" a="1"/>
  <c r="H58" i="7" s="1"/>
  <c r="U43" i="10"/>
  <c r="V43" i="10" s="1"/>
  <c r="J44" i="10" a="1"/>
  <c r="L49" i="5"/>
  <c r="X43" i="10"/>
  <c r="H227" i="7" a="1"/>
  <c r="H228" i="7" s="1"/>
  <c r="M57" i="5" s="1"/>
  <c r="G228" i="7"/>
  <c r="L57" i="5" s="1"/>
  <c r="H229" i="7" a="1"/>
  <c r="AR7" i="7"/>
  <c r="AH7" i="7"/>
  <c r="L45" i="5"/>
  <c r="L50" i="5"/>
  <c r="AS7" i="8"/>
  <c r="AI7" i="8"/>
  <c r="U43" i="8"/>
  <c r="V43" i="8" s="1"/>
  <c r="X43" i="8" s="1"/>
  <c r="J44" i="8" a="1"/>
  <c r="AQ6" i="8"/>
  <c r="AG6" i="8"/>
  <c r="AQ6" i="10"/>
  <c r="AG6" i="10"/>
  <c r="M56" i="8"/>
  <c r="N56" i="8" s="1"/>
  <c r="M236" i="8"/>
  <c r="N236" i="8" s="1"/>
  <c r="M176" i="8"/>
  <c r="N176" i="8" s="1"/>
  <c r="M226" i="8"/>
  <c r="N226" i="8" s="1"/>
  <c r="M186" i="8"/>
  <c r="N186" i="8" s="1"/>
  <c r="M126" i="8"/>
  <c r="N126" i="8" s="1"/>
  <c r="M96" i="8"/>
  <c r="N96" i="8" s="1"/>
  <c r="M76" i="8"/>
  <c r="N76" i="8" s="1"/>
  <c r="M86" i="8"/>
  <c r="N86" i="8" s="1"/>
  <c r="M196" i="8"/>
  <c r="N196" i="8" s="1"/>
  <c r="M156" i="8"/>
  <c r="N156" i="8" s="1"/>
  <c r="M116" i="8"/>
  <c r="N116" i="8" s="1"/>
  <c r="M216" i="8"/>
  <c r="N216" i="8" s="1"/>
  <c r="M146" i="8"/>
  <c r="N146" i="8" s="1"/>
  <c r="M66" i="8"/>
  <c r="N66" i="8" s="1"/>
  <c r="M166" i="8"/>
  <c r="N166" i="8" s="1"/>
  <c r="M106" i="8"/>
  <c r="N106" i="8" s="1"/>
  <c r="M136" i="8"/>
  <c r="N136" i="8" s="1"/>
  <c r="M206" i="8"/>
  <c r="N206" i="8" s="1"/>
  <c r="K156" i="8"/>
  <c r="K186" i="8"/>
  <c r="K216" i="8"/>
  <c r="K226" i="8"/>
  <c r="K76" i="8"/>
  <c r="K56" i="8"/>
  <c r="K176" i="8"/>
  <c r="K86" i="8"/>
  <c r="K196" i="8"/>
  <c r="K126" i="8"/>
  <c r="K96" i="8"/>
  <c r="K66" i="8"/>
  <c r="K106" i="8"/>
  <c r="K136" i="8"/>
  <c r="K166" i="8"/>
  <c r="K206" i="8"/>
  <c r="K236" i="8"/>
  <c r="K116" i="8"/>
  <c r="K146" i="8"/>
  <c r="H189" i="7" a="1"/>
  <c r="H187" i="7" a="1"/>
  <c r="H188" i="7" s="1"/>
  <c r="M53" i="5" s="1"/>
  <c r="H149" i="7" a="1"/>
  <c r="H147" i="7" a="1"/>
  <c r="H148" i="7" s="1"/>
  <c r="M49" i="5" s="1"/>
  <c r="L51" i="5"/>
  <c r="L53" i="5"/>
  <c r="G98" i="7"/>
  <c r="L44" i="5" s="1"/>
  <c r="H99" i="7" a="1"/>
  <c r="G238" i="7"/>
  <c r="L58" i="5" s="1"/>
  <c r="H239" i="7" a="1"/>
  <c r="G68" i="7"/>
  <c r="L41" i="5" s="1"/>
  <c r="H69" i="7" a="1"/>
  <c r="G128" i="7"/>
  <c r="L47" i="5" s="1"/>
  <c r="H129" i="7" a="1"/>
  <c r="H59" i="7" a="1"/>
  <c r="H107" i="7" a="1"/>
  <c r="H108" i="7" s="1"/>
  <c r="H109" i="7" a="1"/>
  <c r="H139" i="7" a="1"/>
  <c r="G138" i="7"/>
  <c r="L48" i="5" s="1"/>
  <c r="G48" i="7"/>
  <c r="L39" i="5" s="1"/>
  <c r="H49" i="7" a="1"/>
  <c r="H79" i="7" a="1"/>
  <c r="G78" i="7"/>
  <c r="L42" i="5" s="1"/>
  <c r="H207" i="7" a="1"/>
  <c r="H208" i="7" s="1"/>
  <c r="M55" i="5" s="1"/>
  <c r="G208" i="7"/>
  <c r="L55" i="5" s="1"/>
  <c r="H119" i="7" a="1"/>
  <c r="G118" i="7"/>
  <c r="L46" i="5" s="1"/>
  <c r="H89" i="7" a="1"/>
  <c r="G178" i="7"/>
  <c r="L52" i="5" s="1"/>
  <c r="H179" i="7" a="1"/>
  <c r="G198" i="7"/>
  <c r="L54" i="5" s="1"/>
  <c r="H199" i="7" a="1"/>
  <c r="H197" i="7" a="1"/>
  <c r="H159" i="7" a="1"/>
  <c r="H157" i="7" a="1"/>
  <c r="H158" i="7" s="1"/>
  <c r="M50" i="5" s="1"/>
  <c r="H167" i="7" a="1"/>
  <c r="H168" i="7" s="1"/>
  <c r="H169" i="7" a="1"/>
  <c r="Q193" i="8"/>
  <c r="R193" i="8" s="1"/>
  <c r="W193" i="8"/>
  <c r="H128" i="7"/>
  <c r="H178" i="7"/>
  <c r="H218" i="7"/>
  <c r="M56" i="5" s="1"/>
  <c r="H98" i="7"/>
  <c r="I52" i="7"/>
  <c r="I112" i="7"/>
  <c r="I102" i="7"/>
  <c r="I212" i="7"/>
  <c r="I232" i="7"/>
  <c r="I42" i="7"/>
  <c r="I213" i="7"/>
  <c r="I216" i="7" s="1"/>
  <c r="I233" i="7"/>
  <c r="I236" i="7" s="1"/>
  <c r="I223" i="7"/>
  <c r="I226" i="7" s="1"/>
  <c r="I83" i="7"/>
  <c r="I86" i="7" s="1"/>
  <c r="I63" i="7"/>
  <c r="I66" i="7" s="1"/>
  <c r="H48" i="7"/>
  <c r="W233" i="8"/>
  <c r="Q233" i="8"/>
  <c r="R233" i="8" s="1"/>
  <c r="L84" i="6"/>
  <c r="Y232" i="8"/>
  <c r="H238" i="7"/>
  <c r="L76" i="6"/>
  <c r="Y152" i="8"/>
  <c r="Y162" i="8"/>
  <c r="L77" i="6"/>
  <c r="L69" i="6"/>
  <c r="Y82" i="8"/>
  <c r="Y102" i="8"/>
  <c r="L71" i="6"/>
  <c r="W153" i="8"/>
  <c r="Q153" i="8"/>
  <c r="R153" i="8" s="1"/>
  <c r="Y192" i="8"/>
  <c r="L80" i="6"/>
  <c r="W223" i="10"/>
  <c r="Q223" i="10"/>
  <c r="R223" i="10" s="1"/>
  <c r="Y222" i="10"/>
  <c r="L85" i="9"/>
  <c r="W233" i="10"/>
  <c r="Q233" i="10"/>
  <c r="R233" i="10" s="1"/>
  <c r="Y232" i="10"/>
  <c r="L86" i="9"/>
  <c r="L80" i="9"/>
  <c r="Y172" i="10"/>
  <c r="W173" i="10"/>
  <c r="Q173" i="10"/>
  <c r="R173" i="10" s="1"/>
  <c r="W213" i="10"/>
  <c r="Q213" i="10"/>
  <c r="R213" i="10" s="1"/>
  <c r="L84" i="9"/>
  <c r="Y212" i="10"/>
  <c r="L79" i="9"/>
  <c r="Y162" i="10"/>
  <c r="W163" i="10"/>
  <c r="Q163" i="10"/>
  <c r="R163" i="10" s="1"/>
  <c r="Y202" i="10"/>
  <c r="L83" i="9"/>
  <c r="W203" i="10"/>
  <c r="Q203" i="10"/>
  <c r="R203" i="10" s="1"/>
  <c r="L75" i="9"/>
  <c r="Y122" i="10"/>
  <c r="W123" i="10"/>
  <c r="Q123" i="10"/>
  <c r="R123" i="10" s="1"/>
  <c r="W143" i="10"/>
  <c r="Q143" i="10"/>
  <c r="R143" i="10" s="1"/>
  <c r="L77" i="9"/>
  <c r="Y142" i="10"/>
  <c r="W53" i="10"/>
  <c r="Q53" i="10"/>
  <c r="R53" i="10" s="1"/>
  <c r="Y52" i="10"/>
  <c r="L68" i="9"/>
  <c r="W113" i="10"/>
  <c r="Q113" i="10"/>
  <c r="R113" i="10" s="1"/>
  <c r="L74" i="9"/>
  <c r="Y112" i="10"/>
  <c r="W133" i="10"/>
  <c r="Q133" i="10"/>
  <c r="R133" i="10" s="1"/>
  <c r="Y132" i="10"/>
  <c r="L76" i="9"/>
  <c r="Y192" i="10"/>
  <c r="L82" i="9"/>
  <c r="W193" i="10"/>
  <c r="Q193" i="10"/>
  <c r="R193" i="10" s="1"/>
  <c r="W103" i="10"/>
  <c r="Q103" i="10"/>
  <c r="R103" i="10" s="1"/>
  <c r="Y102" i="10"/>
  <c r="L73" i="9"/>
  <c r="W183" i="10"/>
  <c r="Q183" i="10"/>
  <c r="R183" i="10" s="1"/>
  <c r="L81" i="9"/>
  <c r="Y182" i="10"/>
  <c r="Y82" i="10"/>
  <c r="L71" i="9"/>
  <c r="W83" i="10"/>
  <c r="Q83" i="10"/>
  <c r="R83" i="10" s="1"/>
  <c r="Y92" i="10"/>
  <c r="L72" i="9"/>
  <c r="W93" i="10"/>
  <c r="Q93" i="10"/>
  <c r="R93" i="10" s="1"/>
  <c r="Y152" i="10"/>
  <c r="L78" i="9"/>
  <c r="W153" i="10"/>
  <c r="Q153" i="10"/>
  <c r="R153" i="10" s="1"/>
  <c r="L70" i="9"/>
  <c r="Y72" i="10"/>
  <c r="Q73" i="10"/>
  <c r="R73" i="10" s="1"/>
  <c r="W73" i="10"/>
  <c r="L69" i="9"/>
  <c r="Y62" i="10"/>
  <c r="W63" i="10"/>
  <c r="Q63" i="10"/>
  <c r="R63" i="10" s="1"/>
  <c r="Q93" i="8"/>
  <c r="R93" i="8" s="1"/>
  <c r="W93" i="8"/>
  <c r="L70" i="6"/>
  <c r="Y92" i="8"/>
  <c r="L82" i="6"/>
  <c r="Y212" i="8"/>
  <c r="W213" i="8"/>
  <c r="Q213" i="8"/>
  <c r="R213" i="8" s="1"/>
  <c r="Y132" i="8"/>
  <c r="L74" i="6"/>
  <c r="Q133" i="8"/>
  <c r="R133" i="8" s="1"/>
  <c r="W133" i="8"/>
  <c r="W63" i="8"/>
  <c r="Q63" i="8"/>
  <c r="R63" i="8" s="1"/>
  <c r="W113" i="8"/>
  <c r="Q113" i="8"/>
  <c r="R113" i="8" s="1"/>
  <c r="L72" i="6"/>
  <c r="Y112" i="8"/>
  <c r="Y52" i="8"/>
  <c r="L66" i="6"/>
  <c r="W53" i="8"/>
  <c r="Q53" i="8"/>
  <c r="R53" i="8" s="1"/>
  <c r="W163" i="8"/>
  <c r="Q163" i="8"/>
  <c r="R163" i="8" s="1"/>
  <c r="W83" i="8"/>
  <c r="Q83" i="8"/>
  <c r="R83" i="8" s="1"/>
  <c r="L68" i="6"/>
  <c r="Y72" i="8"/>
  <c r="W73" i="8"/>
  <c r="Q73" i="8"/>
  <c r="R73" i="8" s="1"/>
  <c r="W103" i="8"/>
  <c r="Q103" i="8"/>
  <c r="R103" i="8" s="1"/>
  <c r="W203" i="8"/>
  <c r="Q203" i="8"/>
  <c r="R203" i="8" s="1"/>
  <c r="Y202" i="8"/>
  <c r="L81" i="6"/>
  <c r="W223" i="8"/>
  <c r="Q223" i="8"/>
  <c r="R223" i="8" s="1"/>
  <c r="L83" i="6"/>
  <c r="Y222" i="8"/>
  <c r="Y142" i="8"/>
  <c r="L75" i="6"/>
  <c r="W143" i="8"/>
  <c r="Q143" i="8"/>
  <c r="R143" i="8" s="1"/>
  <c r="L78" i="6"/>
  <c r="Y172" i="8"/>
  <c r="W173" i="8"/>
  <c r="Q173" i="8"/>
  <c r="R173" i="8" s="1"/>
  <c r="L79" i="6"/>
  <c r="Y182" i="8"/>
  <c r="W183" i="8"/>
  <c r="Q183" i="8"/>
  <c r="R183" i="8" s="1"/>
  <c r="Y122" i="8"/>
  <c r="L73" i="6"/>
  <c r="W123" i="8"/>
  <c r="Q123" i="8"/>
  <c r="R123" i="8" s="1"/>
  <c r="H68" i="7"/>
  <c r="Y62" i="8"/>
  <c r="L67" i="6"/>
  <c r="AH6" i="7"/>
  <c r="AR6" i="7"/>
  <c r="H138" i="7"/>
  <c r="H78" i="7"/>
  <c r="H118" i="7"/>
  <c r="I182" i="7"/>
  <c r="I172" i="7"/>
  <c r="I92" i="7"/>
  <c r="I142" i="7"/>
  <c r="I82" i="7"/>
  <c r="I62" i="7"/>
  <c r="I192" i="7"/>
  <c r="I202" i="7"/>
  <c r="I152" i="7"/>
  <c r="I72" i="7"/>
  <c r="I162" i="7"/>
  <c r="I122" i="7"/>
  <c r="I132" i="7"/>
  <c r="I222" i="7"/>
  <c r="I53" i="7"/>
  <c r="I56" i="7" s="1"/>
  <c r="I193" i="7"/>
  <c r="I196" i="7" s="1"/>
  <c r="I93" i="7"/>
  <c r="I96" i="7" s="1"/>
  <c r="I143" i="7"/>
  <c r="I146" i="7" s="1"/>
  <c r="I173" i="7"/>
  <c r="I176" i="7" s="1"/>
  <c r="I183" i="7"/>
  <c r="I186" i="7" s="1"/>
  <c r="I203" i="7"/>
  <c r="I206" i="7" s="1"/>
  <c r="I103" i="7"/>
  <c r="I106" i="7" s="1"/>
  <c r="I73" i="7"/>
  <c r="I76" i="7" s="1"/>
  <c r="I113" i="7"/>
  <c r="I116" i="7" s="1"/>
  <c r="I133" i="7"/>
  <c r="I136" i="7" s="1"/>
  <c r="I153" i="7"/>
  <c r="I156" i="7" s="1"/>
  <c r="I123" i="7"/>
  <c r="I126" i="7" s="1"/>
  <c r="I43" i="7"/>
  <c r="I46" i="7" s="1"/>
  <c r="I163" i="7"/>
  <c r="I166" i="7" s="1"/>
  <c r="AG5" i="7"/>
  <c r="AQ5" i="7"/>
  <c r="F47" i="5"/>
  <c r="E47" i="5"/>
  <c r="G47" i="5"/>
  <c r="D46" i="5"/>
  <c r="X38" i="10"/>
  <c r="E46" i="5"/>
  <c r="AH22" i="10"/>
  <c r="AR22" i="10"/>
  <c r="X38" i="8"/>
  <c r="G46" i="5"/>
  <c r="AH20" i="8"/>
  <c r="AR20" i="8"/>
  <c r="J11" i="5"/>
  <c r="J12" i="6"/>
  <c r="Q66" i="9"/>
  <c r="K47" i="8"/>
  <c r="G56" i="5"/>
  <c r="F56" i="5"/>
  <c r="D56" i="5"/>
  <c r="E56" i="5"/>
  <c r="L39" i="7"/>
  <c r="L38" i="7"/>
  <c r="Q38" i="5" s="1"/>
  <c r="AR14" i="8"/>
  <c r="AH14" i="8"/>
  <c r="K11" i="6"/>
  <c r="K9" i="6" a="1"/>
  <c r="K10" i="6" a="1"/>
  <c r="M47" i="8"/>
  <c r="N47" i="8" s="1"/>
  <c r="AR5" i="8"/>
  <c r="AH5" i="8"/>
  <c r="V39" i="8"/>
  <c r="W39" i="8"/>
  <c r="I64" i="6" s="1"/>
  <c r="D58" i="5"/>
  <c r="E58" i="5"/>
  <c r="G58" i="5"/>
  <c r="F58" i="5"/>
  <c r="AH7" i="10"/>
  <c r="AR7" i="10"/>
  <c r="V39" i="10"/>
  <c r="W39" i="10"/>
  <c r="I66" i="9" s="1"/>
  <c r="D51" i="5"/>
  <c r="E51" i="5"/>
  <c r="G51" i="5"/>
  <c r="F51" i="5"/>
  <c r="P38" i="5"/>
  <c r="F44" i="5"/>
  <c r="G44" i="5"/>
  <c r="D44" i="5"/>
  <c r="E44" i="5"/>
  <c r="K9" i="5" a="1"/>
  <c r="K10" i="5" a="1"/>
  <c r="G49" i="5"/>
  <c r="F49" i="5"/>
  <c r="E49" i="5"/>
  <c r="D49" i="5"/>
  <c r="K226" i="10"/>
  <c r="K236" i="10"/>
  <c r="K186" i="10"/>
  <c r="K176" i="10"/>
  <c r="K196" i="10"/>
  <c r="K216" i="10"/>
  <c r="K166" i="10"/>
  <c r="K206" i="10"/>
  <c r="K116" i="10"/>
  <c r="K156" i="10"/>
  <c r="K136" i="10"/>
  <c r="K146" i="10"/>
  <c r="K106" i="10"/>
  <c r="K126" i="10"/>
  <c r="K66" i="10"/>
  <c r="K46" i="10"/>
  <c r="K56" i="10"/>
  <c r="K96" i="10"/>
  <c r="K76" i="10"/>
  <c r="K86" i="10"/>
  <c r="M226" i="10"/>
  <c r="N226" i="10" s="1"/>
  <c r="M166" i="10"/>
  <c r="N166" i="10" s="1"/>
  <c r="M176" i="10"/>
  <c r="N176" i="10" s="1"/>
  <c r="M196" i="10"/>
  <c r="N196" i="10" s="1"/>
  <c r="M236" i="10"/>
  <c r="N236" i="10" s="1"/>
  <c r="M106" i="10"/>
  <c r="N106" i="10" s="1"/>
  <c r="M126" i="10"/>
  <c r="N126" i="10" s="1"/>
  <c r="M46" i="10"/>
  <c r="N46" i="10" s="1"/>
  <c r="M206" i="10"/>
  <c r="N206" i="10" s="1"/>
  <c r="M216" i="10"/>
  <c r="N216" i="10" s="1"/>
  <c r="M116" i="10"/>
  <c r="N116" i="10" s="1"/>
  <c r="M156" i="10"/>
  <c r="N156" i="10" s="1"/>
  <c r="M186" i="10"/>
  <c r="N186" i="10" s="1"/>
  <c r="M136" i="10"/>
  <c r="N136" i="10" s="1"/>
  <c r="M66" i="10"/>
  <c r="N66" i="10" s="1"/>
  <c r="M146" i="10"/>
  <c r="N146" i="10" s="1"/>
  <c r="M56" i="10"/>
  <c r="N56" i="10" s="1"/>
  <c r="M76" i="10"/>
  <c r="N76" i="10" s="1"/>
  <c r="M86" i="10"/>
  <c r="N86" i="10" s="1"/>
  <c r="M96" i="10"/>
  <c r="N96" i="10" s="1"/>
  <c r="AG5" i="10"/>
  <c r="AQ5" i="10"/>
  <c r="F45" i="5"/>
  <c r="G45" i="5"/>
  <c r="E45" i="5"/>
  <c r="D45" i="5"/>
  <c r="AH8" i="8"/>
  <c r="AR8" i="8"/>
  <c r="F48" i="5"/>
  <c r="G48" i="5"/>
  <c r="D48" i="5"/>
  <c r="E48" i="5"/>
  <c r="E55" i="5"/>
  <c r="G55" i="5"/>
  <c r="F55" i="5"/>
  <c r="D55" i="5"/>
  <c r="AI16" i="10"/>
  <c r="AS16" i="10"/>
  <c r="AI9" i="10"/>
  <c r="AS9" i="10"/>
  <c r="AI20" i="10"/>
  <c r="AS20" i="10"/>
  <c r="AI19" i="10"/>
  <c r="AS19" i="10"/>
  <c r="AS24" i="10"/>
  <c r="AI24" i="10"/>
  <c r="AI8" i="10"/>
  <c r="AS8" i="10"/>
  <c r="AI21" i="10"/>
  <c r="AS21" i="10"/>
  <c r="AI23" i="10"/>
  <c r="AS23" i="10"/>
  <c r="AI15" i="10"/>
  <c r="AS15" i="10"/>
  <c r="AI13" i="10"/>
  <c r="AS13" i="10"/>
  <c r="AH18" i="10"/>
  <c r="AR18" i="10"/>
  <c r="AS17" i="10"/>
  <c r="AI17" i="10"/>
  <c r="AI14" i="10"/>
  <c r="AS14" i="10"/>
  <c r="AI9" i="8"/>
  <c r="AS9" i="8"/>
  <c r="AS24" i="8"/>
  <c r="AI24" i="8"/>
  <c r="AS12" i="8"/>
  <c r="AI12" i="8"/>
  <c r="AI23" i="8"/>
  <c r="AS23" i="8"/>
  <c r="AH13" i="8"/>
  <c r="AR13" i="8"/>
  <c r="AI10" i="8"/>
  <c r="AS10" i="8"/>
  <c r="AS17" i="8"/>
  <c r="AI17" i="8"/>
  <c r="AI19" i="8"/>
  <c r="AS19" i="8"/>
  <c r="AI22" i="8"/>
  <c r="AS22" i="8"/>
  <c r="AI21" i="8"/>
  <c r="AS21" i="8"/>
  <c r="AI18" i="8"/>
  <c r="AS18" i="8"/>
  <c r="AI15" i="8"/>
  <c r="AS15" i="8"/>
  <c r="AI11" i="8"/>
  <c r="AS11" i="8"/>
  <c r="AI23" i="7"/>
  <c r="AS23" i="7"/>
  <c r="AI16" i="7"/>
  <c r="AS16" i="7"/>
  <c r="AI18" i="7"/>
  <c r="AS18" i="7"/>
  <c r="AI24" i="7"/>
  <c r="AS24" i="7"/>
  <c r="AI15" i="7"/>
  <c r="AS15" i="7"/>
  <c r="AI14" i="7"/>
  <c r="AS14" i="7"/>
  <c r="AI19" i="7"/>
  <c r="AS19" i="7"/>
  <c r="AI9" i="7"/>
  <c r="AS9" i="7"/>
  <c r="AI13" i="7"/>
  <c r="AS13" i="7"/>
  <c r="AI11" i="7"/>
  <c r="AS11" i="7"/>
  <c r="AI20" i="7"/>
  <c r="AS20" i="7"/>
  <c r="AS17" i="7"/>
  <c r="AI17" i="7"/>
  <c r="AS12" i="7"/>
  <c r="AI12" i="7"/>
  <c r="AI21" i="7"/>
  <c r="AS21" i="7"/>
  <c r="AS22" i="7"/>
  <c r="AI22" i="7"/>
  <c r="AI8" i="7"/>
  <c r="AS8" i="7"/>
  <c r="AS10" i="7"/>
  <c r="AI10" i="7"/>
  <c r="L25" i="10"/>
  <c r="I16" i="9" s="1"/>
  <c r="L25" i="8"/>
  <c r="I14" i="6" s="1"/>
  <c r="M29" i="4"/>
  <c r="M5" i="4" s="1"/>
  <c r="L5" i="4"/>
  <c r="L7" i="5"/>
  <c r="L7" i="6"/>
  <c r="A2" i="6" s="1"/>
  <c r="O8" i="4"/>
  <c r="O4" i="4"/>
  <c r="S63" i="6"/>
  <c r="O32" i="4"/>
  <c r="L25" i="7"/>
  <c r="I13" i="5" s="1"/>
  <c r="AS16" i="8" l="1"/>
  <c r="AI16" i="8"/>
  <c r="Y43" i="10"/>
  <c r="M67" i="9"/>
  <c r="Y38" i="10"/>
  <c r="R66" i="9"/>
  <c r="Y38" i="8"/>
  <c r="R64" i="6"/>
  <c r="Q44" i="10"/>
  <c r="R44" i="10" s="1"/>
  <c r="W44" i="10"/>
  <c r="Q44" i="8"/>
  <c r="R44" i="8" s="1"/>
  <c r="W44" i="8"/>
  <c r="AI7" i="7"/>
  <c r="AS7" i="7"/>
  <c r="M117" i="8"/>
  <c r="N117" i="8" s="1"/>
  <c r="M157" i="8"/>
  <c r="N157" i="8" s="1"/>
  <c r="Y43" i="8"/>
  <c r="M65" i="6"/>
  <c r="M58" i="5"/>
  <c r="M137" i="8"/>
  <c r="N137" i="8" s="1"/>
  <c r="M187" i="8"/>
  <c r="N187" i="8" s="1"/>
  <c r="K97" i="8"/>
  <c r="K217" i="8"/>
  <c r="K137" i="8"/>
  <c r="K117" i="8"/>
  <c r="K207" i="8"/>
  <c r="K237" i="8"/>
  <c r="K147" i="8"/>
  <c r="K177" i="8"/>
  <c r="K227" i="8"/>
  <c r="M97" i="8"/>
  <c r="N97" i="8" s="1"/>
  <c r="M217" i="8"/>
  <c r="N217" i="8" s="1"/>
  <c r="M87" i="8"/>
  <c r="N87" i="8" s="1"/>
  <c r="M127" i="8"/>
  <c r="N127" i="8" s="1"/>
  <c r="M77" i="8"/>
  <c r="N77" i="8" s="1"/>
  <c r="M167" i="8"/>
  <c r="N167" i="8" s="1"/>
  <c r="M40" i="5"/>
  <c r="M197" i="8"/>
  <c r="N197" i="8" s="1"/>
  <c r="M67" i="8"/>
  <c r="N67" i="8" s="1"/>
  <c r="M57" i="8"/>
  <c r="N57" i="8" s="1"/>
  <c r="M107" i="8"/>
  <c r="N107" i="8" s="1"/>
  <c r="M207" i="8"/>
  <c r="N207" i="8" s="1"/>
  <c r="M237" i="8"/>
  <c r="N237" i="8" s="1"/>
  <c r="M147" i="8"/>
  <c r="N147" i="8" s="1"/>
  <c r="M177" i="8"/>
  <c r="N177" i="8" s="1"/>
  <c r="M227" i="8"/>
  <c r="N227" i="8" s="1"/>
  <c r="AR6" i="8"/>
  <c r="AH6" i="8"/>
  <c r="AR6" i="10"/>
  <c r="AH6" i="10"/>
  <c r="M44" i="5"/>
  <c r="K167" i="8"/>
  <c r="K187" i="8"/>
  <c r="K87" i="8"/>
  <c r="K127" i="8"/>
  <c r="K157" i="8"/>
  <c r="K77" i="8"/>
  <c r="K197" i="8"/>
  <c r="K67" i="8"/>
  <c r="K57" i="8"/>
  <c r="K107" i="8"/>
  <c r="J142" i="7"/>
  <c r="J192" i="7"/>
  <c r="J202" i="7"/>
  <c r="J52" i="7"/>
  <c r="J112" i="7"/>
  <c r="J102" i="7"/>
  <c r="J212" i="7"/>
  <c r="J132" i="7"/>
  <c r="J232" i="7"/>
  <c r="J222" i="7"/>
  <c r="J82" i="7"/>
  <c r="J152" i="7"/>
  <c r="J162" i="7"/>
  <c r="J62" i="7"/>
  <c r="J72" i="7"/>
  <c r="J122" i="7"/>
  <c r="J42" i="7"/>
  <c r="J172" i="7"/>
  <c r="J182" i="7"/>
  <c r="J92" i="7"/>
  <c r="M45" i="5"/>
  <c r="M47" i="5"/>
  <c r="M52" i="5"/>
  <c r="M43" i="5"/>
  <c r="M41" i="5"/>
  <c r="M48" i="5"/>
  <c r="I147" i="7" a="1"/>
  <c r="I149" i="7" a="1"/>
  <c r="M39" i="5"/>
  <c r="M42" i="5"/>
  <c r="M46" i="5"/>
  <c r="I199" i="7" a="1"/>
  <c r="I59" i="7" a="1"/>
  <c r="I57" i="7" a="1"/>
  <c r="I58" i="7" s="1"/>
  <c r="N40" i="5" s="1"/>
  <c r="I197" i="7" a="1"/>
  <c r="H198" i="7"/>
  <c r="M54" i="5" s="1"/>
  <c r="I49" i="7" a="1"/>
  <c r="I47" i="7" a="1"/>
  <c r="J49" i="7" s="1" a="1"/>
  <c r="I157" i="7" a="1"/>
  <c r="M51" i="5"/>
  <c r="J194" i="8" a="1"/>
  <c r="U193" i="8"/>
  <c r="V193" i="8" s="1"/>
  <c r="X193" i="8" s="1"/>
  <c r="I209" i="7" a="1"/>
  <c r="I207" i="7" a="1"/>
  <c r="I219" i="7" a="1"/>
  <c r="I217" i="7" a="1"/>
  <c r="J217" i="7" s="1" a="1"/>
  <c r="I239" i="7" a="1"/>
  <c r="I237" i="7" a="1"/>
  <c r="I159" i="7" a="1"/>
  <c r="I117" i="7" a="1"/>
  <c r="J117" i="7" s="1" a="1"/>
  <c r="I119" i="7" a="1"/>
  <c r="I107" i="7" a="1"/>
  <c r="J107" i="7" s="1" a="1"/>
  <c r="I109" i="7" a="1"/>
  <c r="I187" i="7" a="1"/>
  <c r="I189" i="7" a="1"/>
  <c r="I177" i="7" a="1"/>
  <c r="I179" i="7" a="1"/>
  <c r="I97" i="7" a="1"/>
  <c r="J97" i="7" s="1" a="1"/>
  <c r="I99" i="7" a="1"/>
  <c r="I87" i="7" a="1"/>
  <c r="I89" i="7" a="1"/>
  <c r="I67" i="7" a="1"/>
  <c r="I69" i="7" a="1"/>
  <c r="I77" i="7" a="1"/>
  <c r="J77" i="7" s="1" a="1"/>
  <c r="I79" i="7" a="1"/>
  <c r="I167" i="7" a="1"/>
  <c r="I169" i="7" a="1"/>
  <c r="I127" i="7" a="1"/>
  <c r="I129" i="7" a="1"/>
  <c r="I137" i="7" a="1"/>
  <c r="J137" i="7" s="1" a="1"/>
  <c r="I139" i="7" a="1"/>
  <c r="I227" i="7" a="1"/>
  <c r="I229" i="7" a="1"/>
  <c r="J234" i="8" a="1"/>
  <c r="U233" i="8"/>
  <c r="V233" i="8" s="1"/>
  <c r="X233" i="8" s="1"/>
  <c r="J103" i="7"/>
  <c r="J106" i="7" s="1"/>
  <c r="J213" i="7"/>
  <c r="J216" i="7" s="1"/>
  <c r="J233" i="7"/>
  <c r="J236" i="7" s="1"/>
  <c r="J223" i="7"/>
  <c r="J226" i="7" s="1"/>
  <c r="J93" i="7"/>
  <c r="J96" i="7" s="1"/>
  <c r="J193" i="7"/>
  <c r="J196" i="7" s="1"/>
  <c r="J203" i="7"/>
  <c r="J206" i="7" s="1"/>
  <c r="J53" i="7"/>
  <c r="J56" i="7" s="1"/>
  <c r="J83" i="7"/>
  <c r="J86" i="7" s="1"/>
  <c r="J143" i="7"/>
  <c r="J146" i="7" s="1"/>
  <c r="J173" i="7"/>
  <c r="J176" i="7" s="1"/>
  <c r="J183" i="7"/>
  <c r="J186" i="7" s="1"/>
  <c r="J43" i="7"/>
  <c r="J46" i="7" s="1"/>
  <c r="J63" i="7"/>
  <c r="J66" i="7" s="1"/>
  <c r="J73" i="7"/>
  <c r="J76" i="7" s="1"/>
  <c r="J123" i="7"/>
  <c r="J126" i="7" s="1"/>
  <c r="J153" i="7"/>
  <c r="J156" i="7" s="1"/>
  <c r="J113" i="7"/>
  <c r="J116" i="7" s="1"/>
  <c r="J163" i="7"/>
  <c r="J166" i="7" s="1"/>
  <c r="J133" i="7"/>
  <c r="J136" i="7" s="1"/>
  <c r="AR5" i="7"/>
  <c r="AH5" i="7"/>
  <c r="J154" i="8" a="1"/>
  <c r="U153" i="8"/>
  <c r="V153" i="8" s="1"/>
  <c r="X153" i="8" s="1"/>
  <c r="J224" i="10" a="1"/>
  <c r="U223" i="10"/>
  <c r="V223" i="10" s="1"/>
  <c r="X223" i="10" s="1"/>
  <c r="J234" i="10" a="1"/>
  <c r="U233" i="10"/>
  <c r="V233" i="10" s="1"/>
  <c r="X233" i="10" s="1"/>
  <c r="U173" i="10"/>
  <c r="V173" i="10" s="1"/>
  <c r="X173" i="10" s="1"/>
  <c r="J174" i="10" a="1"/>
  <c r="J214" i="10" a="1"/>
  <c r="U213" i="10"/>
  <c r="V213" i="10" s="1"/>
  <c r="X213" i="10" s="1"/>
  <c r="U163" i="10"/>
  <c r="V163" i="10" s="1"/>
  <c r="X163" i="10" s="1"/>
  <c r="J164" i="10" a="1"/>
  <c r="U203" i="10"/>
  <c r="V203" i="10" s="1"/>
  <c r="X203" i="10" s="1"/>
  <c r="J204" i="10" a="1"/>
  <c r="J124" i="10" a="1"/>
  <c r="U123" i="10"/>
  <c r="V123" i="10" s="1"/>
  <c r="X123" i="10" s="1"/>
  <c r="J144" i="10" a="1"/>
  <c r="U143" i="10"/>
  <c r="V143" i="10" s="1"/>
  <c r="X143" i="10" s="1"/>
  <c r="J54" i="10" a="1"/>
  <c r="U53" i="10"/>
  <c r="V53" i="10" s="1"/>
  <c r="X53" i="10" s="1"/>
  <c r="J114" i="10" a="1"/>
  <c r="U113" i="10"/>
  <c r="V113" i="10" s="1"/>
  <c r="X113" i="10" s="1"/>
  <c r="J134" i="10" a="1"/>
  <c r="U133" i="10"/>
  <c r="V133" i="10" s="1"/>
  <c r="X133" i="10" s="1"/>
  <c r="U193" i="10"/>
  <c r="V193" i="10" s="1"/>
  <c r="X193" i="10" s="1"/>
  <c r="J194" i="10" a="1"/>
  <c r="U103" i="10"/>
  <c r="V103" i="10" s="1"/>
  <c r="X103" i="10" s="1"/>
  <c r="J104" i="10" a="1"/>
  <c r="J184" i="10" a="1"/>
  <c r="U183" i="10"/>
  <c r="V183" i="10" s="1"/>
  <c r="X183" i="10" s="1"/>
  <c r="J84" i="10" a="1"/>
  <c r="U83" i="10"/>
  <c r="V83" i="10" s="1"/>
  <c r="X83" i="10" s="1"/>
  <c r="J94" i="10" a="1"/>
  <c r="U93" i="10"/>
  <c r="V93" i="10" s="1"/>
  <c r="X93" i="10" s="1"/>
  <c r="U153" i="10"/>
  <c r="V153" i="10" s="1"/>
  <c r="X153" i="10" s="1"/>
  <c r="J154" i="10" a="1"/>
  <c r="J74" i="10" a="1"/>
  <c r="U73" i="10"/>
  <c r="V73" i="10" s="1"/>
  <c r="X73" i="10" s="1"/>
  <c r="J64" i="10" a="1"/>
  <c r="U63" i="10"/>
  <c r="V63" i="10" s="1"/>
  <c r="X63" i="10" s="1"/>
  <c r="J94" i="8" a="1"/>
  <c r="U93" i="8"/>
  <c r="V93" i="8" s="1"/>
  <c r="X93" i="8" s="1"/>
  <c r="U213" i="8"/>
  <c r="V213" i="8" s="1"/>
  <c r="X213" i="8" s="1"/>
  <c r="J214" i="8" a="1"/>
  <c r="U133" i="8"/>
  <c r="V133" i="8" s="1"/>
  <c r="X133" i="8" s="1"/>
  <c r="J134" i="8" a="1"/>
  <c r="J64" i="8" a="1"/>
  <c r="U63" i="8"/>
  <c r="V63" i="8" s="1"/>
  <c r="X63" i="8" s="1"/>
  <c r="J114" i="8" a="1"/>
  <c r="U113" i="8"/>
  <c r="V113" i="8" s="1"/>
  <c r="X113" i="8" s="1"/>
  <c r="J54" i="8" a="1"/>
  <c r="U53" i="8"/>
  <c r="V53" i="8" s="1"/>
  <c r="X53" i="8" s="1"/>
  <c r="J164" i="8" a="1"/>
  <c r="U163" i="8"/>
  <c r="V163" i="8" s="1"/>
  <c r="X163" i="8" s="1"/>
  <c r="J84" i="8" a="1"/>
  <c r="U83" i="8"/>
  <c r="V83" i="8" s="1"/>
  <c r="X83" i="8" s="1"/>
  <c r="J74" i="8" a="1"/>
  <c r="U73" i="8"/>
  <c r="V73" i="8" s="1"/>
  <c r="X73" i="8" s="1"/>
  <c r="U103" i="8"/>
  <c r="V103" i="8" s="1"/>
  <c r="X103" i="8" s="1"/>
  <c r="J104" i="8" a="1"/>
  <c r="J204" i="8" a="1"/>
  <c r="U203" i="8"/>
  <c r="V203" i="8" s="1"/>
  <c r="X203" i="8" s="1"/>
  <c r="J224" i="8" a="1"/>
  <c r="U223" i="8"/>
  <c r="V223" i="8" s="1"/>
  <c r="X223" i="8" s="1"/>
  <c r="J144" i="8" a="1"/>
  <c r="U143" i="8"/>
  <c r="V143" i="8" s="1"/>
  <c r="X143" i="8" s="1"/>
  <c r="J174" i="8" a="1"/>
  <c r="U173" i="8"/>
  <c r="V173" i="8" s="1"/>
  <c r="X173" i="8" s="1"/>
  <c r="U183" i="8"/>
  <c r="V183" i="8" s="1"/>
  <c r="X183" i="8" s="1"/>
  <c r="J184" i="8" a="1"/>
  <c r="J124" i="8" a="1"/>
  <c r="U123" i="8"/>
  <c r="V123" i="8" s="1"/>
  <c r="X123" i="8" s="1"/>
  <c r="AI6" i="7"/>
  <c r="AS6" i="7"/>
  <c r="C38" i="5"/>
  <c r="AI22" i="10"/>
  <c r="AS22" i="10"/>
  <c r="AS20" i="8"/>
  <c r="AI20" i="8"/>
  <c r="K12" i="6"/>
  <c r="L11" i="6"/>
  <c r="L9" i="6" a="1"/>
  <c r="L10" i="6" a="1"/>
  <c r="M197" i="10"/>
  <c r="N197" i="10" s="1"/>
  <c r="M187" i="10"/>
  <c r="N187" i="10" s="1"/>
  <c r="M207" i="10"/>
  <c r="N207" i="10" s="1"/>
  <c r="M227" i="10"/>
  <c r="N227" i="10" s="1"/>
  <c r="M177" i="10"/>
  <c r="N177" i="10" s="1"/>
  <c r="M167" i="10"/>
  <c r="N167" i="10" s="1"/>
  <c r="M237" i="10"/>
  <c r="N237" i="10" s="1"/>
  <c r="M137" i="10"/>
  <c r="N137" i="10" s="1"/>
  <c r="M217" i="10"/>
  <c r="N217" i="10" s="1"/>
  <c r="M47" i="10"/>
  <c r="N47" i="10" s="1"/>
  <c r="M127" i="10"/>
  <c r="N127" i="10" s="1"/>
  <c r="M147" i="10"/>
  <c r="N147" i="10" s="1"/>
  <c r="M117" i="10"/>
  <c r="N117" i="10" s="1"/>
  <c r="M107" i="10"/>
  <c r="N107" i="10" s="1"/>
  <c r="M67" i="10"/>
  <c r="N67" i="10" s="1"/>
  <c r="M157" i="10"/>
  <c r="N157" i="10" s="1"/>
  <c r="M57" i="10"/>
  <c r="N57" i="10" s="1"/>
  <c r="M87" i="10"/>
  <c r="N87" i="10" s="1"/>
  <c r="M77" i="10"/>
  <c r="N77" i="10" s="1"/>
  <c r="M97" i="10"/>
  <c r="N97" i="10" s="1"/>
  <c r="AR5" i="10"/>
  <c r="AH5" i="10"/>
  <c r="AI7" i="10"/>
  <c r="AS7" i="10"/>
  <c r="K48" i="8"/>
  <c r="X39" i="10"/>
  <c r="H66" i="9"/>
  <c r="M48" i="8"/>
  <c r="N48" i="8" s="1"/>
  <c r="AS5" i="8"/>
  <c r="AI5" i="8"/>
  <c r="AI14" i="8"/>
  <c r="AS14" i="8"/>
  <c r="AI8" i="8"/>
  <c r="AS8" i="8"/>
  <c r="K227" i="10"/>
  <c r="K167" i="10"/>
  <c r="K207" i="10"/>
  <c r="K177" i="10"/>
  <c r="K237" i="10"/>
  <c r="K187" i="10"/>
  <c r="K137" i="10"/>
  <c r="K217" i="10"/>
  <c r="K127" i="10"/>
  <c r="K147" i="10"/>
  <c r="K197" i="10"/>
  <c r="K117" i="10"/>
  <c r="K107" i="10"/>
  <c r="K47" i="10"/>
  <c r="K67" i="10"/>
  <c r="K157" i="10"/>
  <c r="K57" i="10"/>
  <c r="K77" i="10"/>
  <c r="K87" i="10"/>
  <c r="K97" i="10"/>
  <c r="L9" i="5" a="1"/>
  <c r="L10" i="5" a="1"/>
  <c r="K11" i="5"/>
  <c r="X39" i="8"/>
  <c r="H64" i="6"/>
  <c r="AI18" i="10"/>
  <c r="AS18" i="10"/>
  <c r="AI13" i="8"/>
  <c r="AS13" i="8"/>
  <c r="I24" i="9"/>
  <c r="I22" i="6"/>
  <c r="I21" i="5"/>
  <c r="I20" i="5" s="1" a="1"/>
  <c r="J24" i="9"/>
  <c r="J22" i="6"/>
  <c r="J21" i="5"/>
  <c r="J20" i="5" s="1" a="1"/>
  <c r="M25" i="10"/>
  <c r="J16" i="9" s="1"/>
  <c r="M25" i="8"/>
  <c r="J14" i="6" s="1"/>
  <c r="M25" i="7"/>
  <c r="J13" i="5" s="1"/>
  <c r="N29" i="4"/>
  <c r="J197" i="7" l="1" a="1"/>
  <c r="J198" i="7" s="1"/>
  <c r="U44" i="10"/>
  <c r="V44" i="10" s="1"/>
  <c r="X44" i="10" s="1"/>
  <c r="J45" i="10" a="1"/>
  <c r="D38" i="5"/>
  <c r="E38" i="5"/>
  <c r="G38" i="5"/>
  <c r="F38" i="5"/>
  <c r="J45" i="8" a="1"/>
  <c r="U44" i="8"/>
  <c r="V44" i="8" s="1"/>
  <c r="X44" i="8" s="1"/>
  <c r="J47" i="7" a="1"/>
  <c r="J48" i="7" s="1"/>
  <c r="O39" i="5" s="1"/>
  <c r="I48" i="7"/>
  <c r="N39" i="5" s="1"/>
  <c r="J147" i="7" a="1"/>
  <c r="J148" i="7" s="1"/>
  <c r="J207" i="7" a="1"/>
  <c r="I148" i="7"/>
  <c r="N49" i="5" s="1"/>
  <c r="J149" i="7" a="1"/>
  <c r="AS6" i="8"/>
  <c r="AI6" i="8"/>
  <c r="AS6" i="10"/>
  <c r="AI6" i="10"/>
  <c r="M58" i="8"/>
  <c r="N58" i="8" s="1"/>
  <c r="M138" i="8"/>
  <c r="N138" i="8" s="1"/>
  <c r="M158" i="8"/>
  <c r="N158" i="8" s="1"/>
  <c r="M198" i="8"/>
  <c r="N198" i="8" s="1"/>
  <c r="M68" i="8"/>
  <c r="N68" i="8" s="1"/>
  <c r="M178" i="8"/>
  <c r="N178" i="8" s="1"/>
  <c r="M108" i="8"/>
  <c r="N108" i="8" s="1"/>
  <c r="M118" i="8"/>
  <c r="N118" i="8" s="1"/>
  <c r="M238" i="8"/>
  <c r="N238" i="8" s="1"/>
  <c r="M148" i="8"/>
  <c r="N148" i="8" s="1"/>
  <c r="M188" i="8"/>
  <c r="N188" i="8" s="1"/>
  <c r="M98" i="8"/>
  <c r="N98" i="8" s="1"/>
  <c r="M128" i="8"/>
  <c r="N128" i="8" s="1"/>
  <c r="M218" i="8"/>
  <c r="N218" i="8" s="1"/>
  <c r="M78" i="8"/>
  <c r="N78" i="8" s="1"/>
  <c r="M168" i="8"/>
  <c r="N168" i="8" s="1"/>
  <c r="M208" i="8"/>
  <c r="N208" i="8" s="1"/>
  <c r="M228" i="8"/>
  <c r="N228" i="8" s="1"/>
  <c r="M88" i="8"/>
  <c r="N88" i="8" s="1"/>
  <c r="K68" i="8"/>
  <c r="K178" i="8"/>
  <c r="K158" i="8"/>
  <c r="K58" i="8"/>
  <c r="K208" i="8"/>
  <c r="K148" i="8"/>
  <c r="K188" i="8"/>
  <c r="K228" i="8"/>
  <c r="K88" i="8"/>
  <c r="K98" i="8"/>
  <c r="K218" i="8"/>
  <c r="K128" i="8"/>
  <c r="K78" i="8"/>
  <c r="K168" i="8"/>
  <c r="K198" i="8"/>
  <c r="K108" i="8"/>
  <c r="K118" i="8"/>
  <c r="K238" i="8"/>
  <c r="K138" i="8"/>
  <c r="J59" i="7" a="1"/>
  <c r="J57" i="7" a="1"/>
  <c r="J58" i="7" s="1"/>
  <c r="J199" i="7" a="1"/>
  <c r="I198" i="7"/>
  <c r="N54" i="5" s="1"/>
  <c r="K113" i="7"/>
  <c r="K116" i="7" s="1"/>
  <c r="K103" i="7"/>
  <c r="K106" i="7" s="1"/>
  <c r="AS5" i="7"/>
  <c r="K53" i="7"/>
  <c r="K56" i="7" s="1"/>
  <c r="K213" i="7"/>
  <c r="K216" i="7" s="1"/>
  <c r="AI5" i="7"/>
  <c r="K233" i="7"/>
  <c r="K236" i="7" s="1"/>
  <c r="K43" i="7"/>
  <c r="K46" i="7" s="1"/>
  <c r="K73" i="7"/>
  <c r="K76" i="7" s="1"/>
  <c r="K63" i="7"/>
  <c r="K66" i="7" s="1"/>
  <c r="K193" i="7"/>
  <c r="K196" i="7" s="1"/>
  <c r="K203" i="7"/>
  <c r="K206" i="7" s="1"/>
  <c r="K133" i="7"/>
  <c r="K136" i="7" s="1"/>
  <c r="K153" i="7"/>
  <c r="K156" i="7" s="1"/>
  <c r="K163" i="7"/>
  <c r="K166" i="7" s="1"/>
  <c r="K83" i="7"/>
  <c r="K86" i="7" s="1"/>
  <c r="K93" i="7"/>
  <c r="K96" i="7" s="1"/>
  <c r="K143" i="7"/>
  <c r="K146" i="7" s="1"/>
  <c r="K173" i="7"/>
  <c r="K176" i="7" s="1"/>
  <c r="K183" i="7"/>
  <c r="K186" i="7" s="1"/>
  <c r="K223" i="7"/>
  <c r="K226" i="7" s="1"/>
  <c r="K123" i="7"/>
  <c r="K126" i="7" s="1"/>
  <c r="K192" i="7"/>
  <c r="K202" i="7"/>
  <c r="K222" i="7"/>
  <c r="K152" i="7"/>
  <c r="K182" i="7"/>
  <c r="K52" i="7"/>
  <c r="K162" i="7"/>
  <c r="K92" i="7"/>
  <c r="K62" i="7"/>
  <c r="K102" i="7"/>
  <c r="K232" i="7"/>
  <c r="K172" i="7"/>
  <c r="K142" i="7"/>
  <c r="K122" i="7"/>
  <c r="K112" i="7"/>
  <c r="K212" i="7"/>
  <c r="K42" i="7"/>
  <c r="K72" i="7"/>
  <c r="K132" i="7"/>
  <c r="K82" i="7"/>
  <c r="J159" i="7" a="1"/>
  <c r="J157" i="7" a="1"/>
  <c r="I158" i="7"/>
  <c r="N50" i="5" s="1"/>
  <c r="M80" i="6"/>
  <c r="Y193" i="8"/>
  <c r="J237" i="7" a="1"/>
  <c r="I238" i="7"/>
  <c r="N58" i="5" s="1"/>
  <c r="J239" i="7" a="1"/>
  <c r="W194" i="8"/>
  <c r="Q194" i="8"/>
  <c r="R194" i="8" s="1"/>
  <c r="J209" i="7" a="1"/>
  <c r="I208" i="7"/>
  <c r="N55" i="5" s="1"/>
  <c r="I218" i="7"/>
  <c r="N56" i="5" s="1"/>
  <c r="J219" i="7" a="1"/>
  <c r="J189" i="7" a="1"/>
  <c r="I188" i="7"/>
  <c r="N53" i="5" s="1"/>
  <c r="C53" i="5" s="1"/>
  <c r="J187" i="7" a="1"/>
  <c r="J79" i="7" a="1"/>
  <c r="I78" i="7"/>
  <c r="N42" i="5" s="1"/>
  <c r="J179" i="7" a="1"/>
  <c r="J177" i="7" a="1"/>
  <c r="I178" i="7"/>
  <c r="N52" i="5" s="1"/>
  <c r="C52" i="5" s="1"/>
  <c r="I98" i="7"/>
  <c r="N44" i="5" s="1"/>
  <c r="J99" i="7" a="1"/>
  <c r="I88" i="7"/>
  <c r="N43" i="5" s="1"/>
  <c r="J89" i="7" a="1"/>
  <c r="J87" i="7" a="1"/>
  <c r="I68" i="7"/>
  <c r="N41" i="5" s="1"/>
  <c r="J69" i="7" a="1"/>
  <c r="J67" i="7" a="1"/>
  <c r="J169" i="7" a="1"/>
  <c r="J167" i="7" a="1"/>
  <c r="I168" i="7"/>
  <c r="N51" i="5" s="1"/>
  <c r="J129" i="7" a="1"/>
  <c r="J127" i="7" a="1"/>
  <c r="I128" i="7"/>
  <c r="N47" i="5" s="1"/>
  <c r="J139" i="7" a="1"/>
  <c r="I138" i="7"/>
  <c r="N48" i="5" s="1"/>
  <c r="I228" i="7"/>
  <c r="N57" i="5" s="1"/>
  <c r="J229" i="7" a="1"/>
  <c r="J227" i="7" a="1"/>
  <c r="J119" i="7" a="1"/>
  <c r="I118" i="7"/>
  <c r="N46" i="5" s="1"/>
  <c r="J109" i="7" a="1"/>
  <c r="I108" i="7"/>
  <c r="N45" i="5" s="1"/>
  <c r="Q234" i="8"/>
  <c r="R234" i="8" s="1"/>
  <c r="W234" i="8"/>
  <c r="M84" i="6"/>
  <c r="Y233" i="8"/>
  <c r="J98" i="7"/>
  <c r="J108" i="7"/>
  <c r="J118" i="7"/>
  <c r="J218" i="7"/>
  <c r="J78" i="7"/>
  <c r="J138" i="7"/>
  <c r="M74" i="6"/>
  <c r="Y133" i="8"/>
  <c r="W154" i="8"/>
  <c r="Q154" i="8"/>
  <c r="R154" i="8" s="1"/>
  <c r="Y153" i="8"/>
  <c r="M76" i="6"/>
  <c r="W224" i="10"/>
  <c r="Q224" i="10"/>
  <c r="R224" i="10" s="1"/>
  <c r="M85" i="9"/>
  <c r="Y223" i="10"/>
  <c r="W234" i="10"/>
  <c r="Q234" i="10"/>
  <c r="R234" i="10" s="1"/>
  <c r="M86" i="9"/>
  <c r="Y233" i="10"/>
  <c r="M80" i="9"/>
  <c r="Y173" i="10"/>
  <c r="W174" i="10"/>
  <c r="Q174" i="10"/>
  <c r="R174" i="10" s="1"/>
  <c r="W214" i="10"/>
  <c r="Q214" i="10"/>
  <c r="R214" i="10" s="1"/>
  <c r="M84" i="9"/>
  <c r="Y213" i="10"/>
  <c r="Y163" i="10"/>
  <c r="M79" i="9"/>
  <c r="W164" i="10"/>
  <c r="Q164" i="10"/>
  <c r="R164" i="10" s="1"/>
  <c r="Y203" i="10"/>
  <c r="M83" i="9"/>
  <c r="W204" i="10"/>
  <c r="Q204" i="10"/>
  <c r="R204" i="10" s="1"/>
  <c r="W124" i="10"/>
  <c r="Q124" i="10"/>
  <c r="R124" i="10" s="1"/>
  <c r="M75" i="9"/>
  <c r="Y123" i="10"/>
  <c r="W144" i="10"/>
  <c r="Q144" i="10"/>
  <c r="R144" i="10" s="1"/>
  <c r="M77" i="9"/>
  <c r="Y143" i="10"/>
  <c r="W54" i="10"/>
  <c r="Q54" i="10"/>
  <c r="R54" i="10" s="1"/>
  <c r="Y53" i="10"/>
  <c r="M68" i="9"/>
  <c r="W114" i="10"/>
  <c r="Q114" i="10"/>
  <c r="R114" i="10" s="1"/>
  <c r="M74" i="9"/>
  <c r="Y113" i="10"/>
  <c r="W134" i="10"/>
  <c r="Q134" i="10"/>
  <c r="R134" i="10" s="1"/>
  <c r="M76" i="9"/>
  <c r="Y133" i="10"/>
  <c r="M82" i="9"/>
  <c r="Y193" i="10"/>
  <c r="W194" i="10"/>
  <c r="Q194" i="10"/>
  <c r="R194" i="10" s="1"/>
  <c r="M73" i="9"/>
  <c r="Y103" i="10"/>
  <c r="W104" i="10"/>
  <c r="Q104" i="10"/>
  <c r="R104" i="10" s="1"/>
  <c r="W184" i="10"/>
  <c r="Q184" i="10"/>
  <c r="R184" i="10" s="1"/>
  <c r="M81" i="9"/>
  <c r="Y183" i="10"/>
  <c r="W84" i="10"/>
  <c r="Q84" i="10"/>
  <c r="R84" i="10" s="1"/>
  <c r="M71" i="9"/>
  <c r="Y83" i="10"/>
  <c r="W94" i="10"/>
  <c r="Q94" i="10"/>
  <c r="R94" i="10" s="1"/>
  <c r="M72" i="9"/>
  <c r="Y93" i="10"/>
  <c r="M78" i="9"/>
  <c r="Y153" i="10"/>
  <c r="W154" i="10"/>
  <c r="Q154" i="10"/>
  <c r="R154" i="10" s="1"/>
  <c r="W74" i="10"/>
  <c r="Q74" i="10"/>
  <c r="R74" i="10" s="1"/>
  <c r="Y73" i="10"/>
  <c r="M70" i="9"/>
  <c r="W64" i="10"/>
  <c r="Q64" i="10"/>
  <c r="R64" i="10" s="1"/>
  <c r="M69" i="9"/>
  <c r="Y63" i="10"/>
  <c r="Q94" i="8"/>
  <c r="R94" i="8" s="1"/>
  <c r="W94" i="8"/>
  <c r="M70" i="6"/>
  <c r="Y93" i="8"/>
  <c r="Y213" i="8"/>
  <c r="M82" i="6"/>
  <c r="W214" i="8"/>
  <c r="Q214" i="8"/>
  <c r="R214" i="8" s="1"/>
  <c r="W134" i="8"/>
  <c r="Q134" i="8"/>
  <c r="R134" i="8" s="1"/>
  <c r="W64" i="8"/>
  <c r="Q64" i="8"/>
  <c r="R64" i="8" s="1"/>
  <c r="M67" i="6"/>
  <c r="Y63" i="8"/>
  <c r="W114" i="8"/>
  <c r="Q114" i="8"/>
  <c r="R114" i="8" s="1"/>
  <c r="M72" i="6"/>
  <c r="Y113" i="8"/>
  <c r="W54" i="8"/>
  <c r="Q54" i="8"/>
  <c r="R54" i="8" s="1"/>
  <c r="Y53" i="8"/>
  <c r="M66" i="6"/>
  <c r="W164" i="8"/>
  <c r="Q164" i="8"/>
  <c r="R164" i="8" s="1"/>
  <c r="Y163" i="8"/>
  <c r="M77" i="6"/>
  <c r="W84" i="8"/>
  <c r="Q84" i="8"/>
  <c r="R84" i="8" s="1"/>
  <c r="M69" i="6"/>
  <c r="Y83" i="8"/>
  <c r="W74" i="8"/>
  <c r="Q74" i="8"/>
  <c r="R74" i="8" s="1"/>
  <c r="Y73" i="8"/>
  <c r="M68" i="6"/>
  <c r="Y103" i="8"/>
  <c r="M71" i="6"/>
  <c r="W104" i="8"/>
  <c r="Q104" i="8"/>
  <c r="R104" i="8" s="1"/>
  <c r="W204" i="8"/>
  <c r="Q204" i="8"/>
  <c r="R204" i="8" s="1"/>
  <c r="M81" i="6"/>
  <c r="Y203" i="8"/>
  <c r="W224" i="8"/>
  <c r="Q224" i="8"/>
  <c r="R224" i="8" s="1"/>
  <c r="M83" i="6"/>
  <c r="Y223" i="8"/>
  <c r="W144" i="8"/>
  <c r="Q144" i="8"/>
  <c r="R144" i="8" s="1"/>
  <c r="M75" i="6"/>
  <c r="Y143" i="8"/>
  <c r="W174" i="8"/>
  <c r="Q174" i="8"/>
  <c r="R174" i="8" s="1"/>
  <c r="M78" i="6"/>
  <c r="Y173" i="8"/>
  <c r="M79" i="6"/>
  <c r="Y183" i="8"/>
  <c r="W184" i="8"/>
  <c r="Q184" i="8"/>
  <c r="R184" i="8" s="1"/>
  <c r="W124" i="8"/>
  <c r="Q124" i="8"/>
  <c r="R124" i="8" s="1"/>
  <c r="Y123" i="8"/>
  <c r="M73" i="6"/>
  <c r="L12" i="6"/>
  <c r="L11" i="5"/>
  <c r="M228" i="10"/>
  <c r="N228" i="10" s="1"/>
  <c r="M168" i="10"/>
  <c r="N168" i="10" s="1"/>
  <c r="M198" i="10"/>
  <c r="N198" i="10" s="1"/>
  <c r="M218" i="10"/>
  <c r="N218" i="10" s="1"/>
  <c r="M188" i="10"/>
  <c r="N188" i="10" s="1"/>
  <c r="M108" i="10"/>
  <c r="N108" i="10" s="1"/>
  <c r="M238" i="10"/>
  <c r="N238" i="10" s="1"/>
  <c r="M178" i="10"/>
  <c r="N178" i="10" s="1"/>
  <c r="M138" i="10"/>
  <c r="N138" i="10" s="1"/>
  <c r="M48" i="10"/>
  <c r="N48" i="10" s="1"/>
  <c r="M68" i="10"/>
  <c r="N68" i="10" s="1"/>
  <c r="M128" i="10"/>
  <c r="N128" i="10" s="1"/>
  <c r="M118" i="10"/>
  <c r="N118" i="10" s="1"/>
  <c r="M148" i="10"/>
  <c r="N148" i="10" s="1"/>
  <c r="M208" i="10"/>
  <c r="N208" i="10" s="1"/>
  <c r="M58" i="10"/>
  <c r="N58" i="10" s="1"/>
  <c r="M158" i="10"/>
  <c r="N158" i="10" s="1"/>
  <c r="M78" i="10"/>
  <c r="N78" i="10" s="1"/>
  <c r="M88" i="10"/>
  <c r="N88" i="10" s="1"/>
  <c r="M98" i="10"/>
  <c r="N98" i="10" s="1"/>
  <c r="AI5" i="10"/>
  <c r="AS5" i="10"/>
  <c r="S64" i="6"/>
  <c r="E64" i="6" s="1"/>
  <c r="F64" i="6" s="1"/>
  <c r="G64" i="6" s="1"/>
  <c r="Y39" i="8"/>
  <c r="S66" i="9"/>
  <c r="E66" i="9" s="1"/>
  <c r="F66" i="9" s="1"/>
  <c r="G66" i="9" s="1"/>
  <c r="Y39" i="10"/>
  <c r="K49" i="8"/>
  <c r="M49" i="8"/>
  <c r="N49" i="8" s="1"/>
  <c r="K228" i="10"/>
  <c r="K198" i="10"/>
  <c r="K218" i="10"/>
  <c r="K188" i="10"/>
  <c r="K108" i="10"/>
  <c r="K208" i="10"/>
  <c r="K238" i="10"/>
  <c r="K178" i="10"/>
  <c r="K168" i="10"/>
  <c r="K138" i="10"/>
  <c r="K48" i="10"/>
  <c r="K128" i="10"/>
  <c r="K118" i="10"/>
  <c r="K148" i="10"/>
  <c r="K58" i="10"/>
  <c r="K158" i="10"/>
  <c r="K68" i="10"/>
  <c r="K78" i="10"/>
  <c r="K88" i="10"/>
  <c r="K98" i="10"/>
  <c r="N25" i="10"/>
  <c r="K16" i="9" s="1"/>
  <c r="N25" i="8"/>
  <c r="K14" i="6" s="1"/>
  <c r="N5" i="4"/>
  <c r="O29" i="4"/>
  <c r="O5" i="4" s="1"/>
  <c r="N25" i="7"/>
  <c r="K13" i="5" s="1"/>
  <c r="Q45" i="10" l="1"/>
  <c r="R45" i="10" s="1"/>
  <c r="W45" i="10"/>
  <c r="N67" i="9"/>
  <c r="Y44" i="10"/>
  <c r="O40" i="5"/>
  <c r="W45" i="8"/>
  <c r="Q45" i="8"/>
  <c r="R45" i="8" s="1"/>
  <c r="K219" i="7" a="1"/>
  <c r="K217" i="7" a="1"/>
  <c r="K218" i="7" s="1"/>
  <c r="P56" i="5" s="1"/>
  <c r="Y44" i="8"/>
  <c r="N65" i="6"/>
  <c r="K209" i="7" a="1"/>
  <c r="K79" i="7" a="1"/>
  <c r="K77" i="7" a="1"/>
  <c r="K78" i="7" s="1"/>
  <c r="P42" i="5" s="1"/>
  <c r="C42" i="5" s="1"/>
  <c r="K119" i="7" a="1"/>
  <c r="K117" i="7" a="1"/>
  <c r="K118" i="7" s="1"/>
  <c r="P46" i="5" s="1"/>
  <c r="J208" i="7"/>
  <c r="O55" i="5" s="1"/>
  <c r="K207" i="7" a="1"/>
  <c r="K208" i="7" s="1"/>
  <c r="P55" i="5" s="1"/>
  <c r="K199" i="7" a="1"/>
  <c r="K197" i="7" a="1"/>
  <c r="K109" i="7" a="1"/>
  <c r="K107" i="7" a="1"/>
  <c r="K108" i="7" s="1"/>
  <c r="P45" i="5" s="1"/>
  <c r="O49" i="5"/>
  <c r="L193" i="7"/>
  <c r="L196" i="7" s="1"/>
  <c r="L203" i="7"/>
  <c r="L206" i="7" s="1"/>
  <c r="L53" i="7"/>
  <c r="L56" i="7" s="1"/>
  <c r="L113" i="7"/>
  <c r="L116" i="7" s="1"/>
  <c r="L103" i="7"/>
  <c r="L106" i="7" s="1"/>
  <c r="L213" i="7"/>
  <c r="L216" i="7" s="1"/>
  <c r="L133" i="7"/>
  <c r="L136" i="7" s="1"/>
  <c r="L233" i="7"/>
  <c r="L236" i="7" s="1"/>
  <c r="L223" i="7"/>
  <c r="L226" i="7" s="1"/>
  <c r="L83" i="7"/>
  <c r="L86" i="7" s="1"/>
  <c r="L153" i="7"/>
  <c r="L156" i="7" s="1"/>
  <c r="L163" i="7"/>
  <c r="L166" i="7" s="1"/>
  <c r="L93" i="7"/>
  <c r="L96" i="7" s="1"/>
  <c r="L92" i="7"/>
  <c r="L62" i="7"/>
  <c r="L152" i="7"/>
  <c r="L162" i="7"/>
  <c r="L72" i="7"/>
  <c r="L42" i="7"/>
  <c r="L222" i="7"/>
  <c r="L172" i="7"/>
  <c r="K139" i="7" a="1"/>
  <c r="K137" i="7" a="1"/>
  <c r="K149" i="7" a="1"/>
  <c r="K147" i="7" a="1"/>
  <c r="L147" i="7" s="1" a="1"/>
  <c r="L148" i="7" s="1"/>
  <c r="K187" i="7" a="1"/>
  <c r="M99" i="8"/>
  <c r="N99" i="8" s="1"/>
  <c r="M89" i="8"/>
  <c r="N89" i="8" s="1"/>
  <c r="M119" i="8"/>
  <c r="N119" i="8" s="1"/>
  <c r="M199" i="8"/>
  <c r="N199" i="8" s="1"/>
  <c r="M79" i="8"/>
  <c r="N79" i="8" s="1"/>
  <c r="M169" i="8"/>
  <c r="N169" i="8" s="1"/>
  <c r="M59" i="8"/>
  <c r="N59" i="8" s="1"/>
  <c r="M229" i="8"/>
  <c r="N229" i="8" s="1"/>
  <c r="M69" i="8"/>
  <c r="N69" i="8" s="1"/>
  <c r="M189" i="8"/>
  <c r="N189" i="8" s="1"/>
  <c r="M159" i="8"/>
  <c r="N159" i="8" s="1"/>
  <c r="M129" i="8"/>
  <c r="N129" i="8" s="1"/>
  <c r="M239" i="8"/>
  <c r="N239" i="8" s="1"/>
  <c r="M209" i="8"/>
  <c r="N209" i="8" s="1"/>
  <c r="M179" i="8"/>
  <c r="N179" i="8" s="1"/>
  <c r="M139" i="8"/>
  <c r="N139" i="8" s="1"/>
  <c r="M109" i="8"/>
  <c r="N109" i="8" s="1"/>
  <c r="M149" i="8"/>
  <c r="N149" i="8" s="1"/>
  <c r="M219" i="8"/>
  <c r="N219" i="8" s="1"/>
  <c r="K189" i="8"/>
  <c r="K219" i="8"/>
  <c r="K109" i="8"/>
  <c r="K139" i="8"/>
  <c r="K169" i="8"/>
  <c r="K199" i="8"/>
  <c r="K79" i="8"/>
  <c r="K59" i="8"/>
  <c r="K69" i="8"/>
  <c r="K179" i="8"/>
  <c r="K89" i="8"/>
  <c r="K99" i="8"/>
  <c r="K159" i="8"/>
  <c r="K129" i="8"/>
  <c r="K209" i="8"/>
  <c r="K229" i="8"/>
  <c r="K119" i="8"/>
  <c r="K149" i="8"/>
  <c r="K239" i="8"/>
  <c r="L123" i="7"/>
  <c r="L126" i="7" s="1"/>
  <c r="L73" i="7"/>
  <c r="L76" i="7" s="1"/>
  <c r="L63" i="7"/>
  <c r="L66" i="7" s="1"/>
  <c r="L43" i="7"/>
  <c r="L46" i="7" s="1"/>
  <c r="L183" i="7"/>
  <c r="L186" i="7" s="1"/>
  <c r="L173" i="7"/>
  <c r="L176" i="7" s="1"/>
  <c r="L143" i="7"/>
  <c r="L146" i="7" s="1"/>
  <c r="L182" i="7"/>
  <c r="L122" i="7"/>
  <c r="L102" i="7"/>
  <c r="L142" i="7"/>
  <c r="L82" i="7"/>
  <c r="L132" i="7"/>
  <c r="L232" i="7"/>
  <c r="L212" i="7"/>
  <c r="L112" i="7"/>
  <c r="L52" i="7"/>
  <c r="L202" i="7"/>
  <c r="L192" i="7"/>
  <c r="K49" i="7" a="1"/>
  <c r="K47" i="7" a="1"/>
  <c r="O54" i="5"/>
  <c r="K59" i="7" a="1"/>
  <c r="K57" i="7" a="1"/>
  <c r="K99" i="7" a="1"/>
  <c r="K97" i="7" a="1"/>
  <c r="K98" i="7" s="1"/>
  <c r="P44" i="5" s="1"/>
  <c r="K159" i="7" a="1"/>
  <c r="J158" i="7"/>
  <c r="O50" i="5" s="1"/>
  <c r="K157" i="7" a="1"/>
  <c r="J238" i="7"/>
  <c r="O58" i="5" s="1"/>
  <c r="K239" i="7" a="1"/>
  <c r="K237" i="7" a="1"/>
  <c r="G53" i="5"/>
  <c r="F53" i="5"/>
  <c r="E53" i="5"/>
  <c r="D53" i="5"/>
  <c r="K177" i="7" a="1"/>
  <c r="J178" i="7"/>
  <c r="O52" i="5" s="1"/>
  <c r="K179" i="7" a="1"/>
  <c r="O46" i="5"/>
  <c r="O56" i="5"/>
  <c r="O42" i="5"/>
  <c r="O48" i="5"/>
  <c r="J188" i="7"/>
  <c r="O53" i="5" s="1"/>
  <c r="K189" i="7" a="1"/>
  <c r="G52" i="5"/>
  <c r="E52" i="5"/>
  <c r="F52" i="5"/>
  <c r="D52" i="5"/>
  <c r="K167" i="7" a="1"/>
  <c r="J168" i="7"/>
  <c r="O51" i="5" s="1"/>
  <c r="K169" i="7" a="1"/>
  <c r="K127" i="7" a="1"/>
  <c r="J128" i="7"/>
  <c r="O47" i="5" s="1"/>
  <c r="K129" i="7" a="1"/>
  <c r="O44" i="5"/>
  <c r="O45" i="5"/>
  <c r="J195" i="8" a="1"/>
  <c r="U194" i="8"/>
  <c r="V194" i="8" s="1"/>
  <c r="X194" i="8" s="1"/>
  <c r="U234" i="8"/>
  <c r="V234" i="8" s="1"/>
  <c r="X234" i="8" s="1"/>
  <c r="J235" i="8" a="1"/>
  <c r="J88" i="7"/>
  <c r="O43" i="5" s="1"/>
  <c r="K89" i="7" a="1"/>
  <c r="K87" i="7" a="1"/>
  <c r="J68" i="7"/>
  <c r="O41" i="5" s="1"/>
  <c r="K69" i="7" a="1"/>
  <c r="K67" i="7" a="1"/>
  <c r="J228" i="7"/>
  <c r="O57" i="5" s="1"/>
  <c r="K229" i="7" a="1"/>
  <c r="K227" i="7" a="1"/>
  <c r="J155" i="8" a="1"/>
  <c r="U154" i="8"/>
  <c r="V154" i="8" s="1"/>
  <c r="X154" i="8" s="1"/>
  <c r="J225" i="10" a="1"/>
  <c r="U224" i="10"/>
  <c r="V224" i="10" s="1"/>
  <c r="X224" i="10" s="1"/>
  <c r="J235" i="10" a="1"/>
  <c r="U234" i="10"/>
  <c r="V234" i="10" s="1"/>
  <c r="X234" i="10" s="1"/>
  <c r="J175" i="10" a="1"/>
  <c r="U174" i="10"/>
  <c r="V174" i="10" s="1"/>
  <c r="X174" i="10" s="1"/>
  <c r="J215" i="10" a="1"/>
  <c r="U214" i="10"/>
  <c r="V214" i="10" s="1"/>
  <c r="X214" i="10" s="1"/>
  <c r="U164" i="10"/>
  <c r="V164" i="10" s="1"/>
  <c r="X164" i="10" s="1"/>
  <c r="J165" i="10" a="1"/>
  <c r="J205" i="10" a="1"/>
  <c r="U204" i="10"/>
  <c r="V204" i="10" s="1"/>
  <c r="X204" i="10" s="1"/>
  <c r="U124" i="10"/>
  <c r="V124" i="10" s="1"/>
  <c r="X124" i="10" s="1"/>
  <c r="J125" i="10" a="1"/>
  <c r="J145" i="10" a="1"/>
  <c r="U144" i="10"/>
  <c r="V144" i="10" s="1"/>
  <c r="X144" i="10" s="1"/>
  <c r="J55" i="10" a="1"/>
  <c r="U54" i="10"/>
  <c r="V54" i="10" s="1"/>
  <c r="X54" i="10" s="1"/>
  <c r="J115" i="10" a="1"/>
  <c r="U114" i="10"/>
  <c r="V114" i="10" s="1"/>
  <c r="X114" i="10" s="1"/>
  <c r="J135" i="10" a="1"/>
  <c r="U134" i="10"/>
  <c r="V134" i="10" s="1"/>
  <c r="X134" i="10" s="1"/>
  <c r="J195" i="10" a="1"/>
  <c r="U194" i="10"/>
  <c r="V194" i="10" s="1"/>
  <c r="X194" i="10" s="1"/>
  <c r="J105" i="10" a="1"/>
  <c r="U104" i="10"/>
  <c r="V104" i="10" s="1"/>
  <c r="X104" i="10" s="1"/>
  <c r="J185" i="10" a="1"/>
  <c r="U184" i="10"/>
  <c r="V184" i="10" s="1"/>
  <c r="X184" i="10" s="1"/>
  <c r="U84" i="10"/>
  <c r="V84" i="10" s="1"/>
  <c r="X84" i="10" s="1"/>
  <c r="J85" i="10" a="1"/>
  <c r="J95" i="10" a="1"/>
  <c r="U94" i="10"/>
  <c r="V94" i="10" s="1"/>
  <c r="X94" i="10" s="1"/>
  <c r="J155" i="10" a="1"/>
  <c r="U154" i="10"/>
  <c r="V154" i="10" s="1"/>
  <c r="X154" i="10" s="1"/>
  <c r="J75" i="10" a="1"/>
  <c r="U74" i="10"/>
  <c r="V74" i="10" s="1"/>
  <c r="X74" i="10" s="1"/>
  <c r="U64" i="10"/>
  <c r="V64" i="10" s="1"/>
  <c r="X64" i="10" s="1"/>
  <c r="J65" i="10" a="1"/>
  <c r="J95" i="8" a="1"/>
  <c r="U94" i="8"/>
  <c r="V94" i="8" s="1"/>
  <c r="X94" i="8" s="1"/>
  <c r="J215" i="8" a="1"/>
  <c r="U214" i="8"/>
  <c r="V214" i="8" s="1"/>
  <c r="X214" i="8" s="1"/>
  <c r="J135" i="8" a="1"/>
  <c r="U134" i="8"/>
  <c r="V134" i="8" s="1"/>
  <c r="X134" i="8" s="1"/>
  <c r="J65" i="8" a="1"/>
  <c r="U64" i="8"/>
  <c r="V64" i="8" s="1"/>
  <c r="X64" i="8" s="1"/>
  <c r="J115" i="8" a="1"/>
  <c r="U114" i="8"/>
  <c r="V114" i="8" s="1"/>
  <c r="X114" i="8" s="1"/>
  <c r="J55" i="8" a="1"/>
  <c r="U54" i="8"/>
  <c r="V54" i="8" s="1"/>
  <c r="X54" i="8" s="1"/>
  <c r="J165" i="8" a="1"/>
  <c r="U164" i="8"/>
  <c r="V164" i="8" s="1"/>
  <c r="X164" i="8" s="1"/>
  <c r="J85" i="8" a="1"/>
  <c r="U84" i="8"/>
  <c r="V84" i="8" s="1"/>
  <c r="X84" i="8" s="1"/>
  <c r="J75" i="8" a="1"/>
  <c r="U74" i="8"/>
  <c r="V74" i="8" s="1"/>
  <c r="X74" i="8" s="1"/>
  <c r="J105" i="8" a="1"/>
  <c r="U104" i="8"/>
  <c r="V104" i="8" s="1"/>
  <c r="X104" i="8" s="1"/>
  <c r="J205" i="8" a="1"/>
  <c r="U204" i="8"/>
  <c r="V204" i="8" s="1"/>
  <c r="X204" i="8" s="1"/>
  <c r="J225" i="8" a="1"/>
  <c r="U224" i="8"/>
  <c r="V224" i="8" s="1"/>
  <c r="X224" i="8" s="1"/>
  <c r="U144" i="8"/>
  <c r="V144" i="8" s="1"/>
  <c r="X144" i="8" s="1"/>
  <c r="J145" i="8" a="1"/>
  <c r="U174" i="8"/>
  <c r="V174" i="8" s="1"/>
  <c r="X174" i="8" s="1"/>
  <c r="J175" i="8" a="1"/>
  <c r="J185" i="8" a="1"/>
  <c r="U184" i="8"/>
  <c r="V184" i="8" s="1"/>
  <c r="X184" i="8" s="1"/>
  <c r="J125" i="8" a="1"/>
  <c r="U124" i="8"/>
  <c r="V124" i="8" s="1"/>
  <c r="X124" i="8" s="1"/>
  <c r="M229" i="10"/>
  <c r="N229" i="10" s="1"/>
  <c r="M239" i="10"/>
  <c r="N239" i="10" s="1"/>
  <c r="M169" i="10"/>
  <c r="N169" i="10" s="1"/>
  <c r="M179" i="10"/>
  <c r="N179" i="10" s="1"/>
  <c r="M199" i="10"/>
  <c r="N199" i="10" s="1"/>
  <c r="M189" i="10"/>
  <c r="N189" i="10" s="1"/>
  <c r="M219" i="10"/>
  <c r="N219" i="10" s="1"/>
  <c r="M109" i="10"/>
  <c r="N109" i="10" s="1"/>
  <c r="M119" i="10"/>
  <c r="N119" i="10" s="1"/>
  <c r="M159" i="10"/>
  <c r="N159" i="10" s="1"/>
  <c r="M139" i="10"/>
  <c r="N139" i="10" s="1"/>
  <c r="M129" i="10"/>
  <c r="N129" i="10" s="1"/>
  <c r="M209" i="10"/>
  <c r="N209" i="10" s="1"/>
  <c r="M79" i="10"/>
  <c r="N79" i="10" s="1"/>
  <c r="M49" i="10"/>
  <c r="N49" i="10" s="1"/>
  <c r="M59" i="10"/>
  <c r="N59" i="10" s="1"/>
  <c r="M69" i="10"/>
  <c r="N69" i="10" s="1"/>
  <c r="M149" i="10"/>
  <c r="N149" i="10" s="1"/>
  <c r="M89" i="10"/>
  <c r="N89" i="10" s="1"/>
  <c r="M99" i="10"/>
  <c r="N99" i="10" s="1"/>
  <c r="K169" i="10"/>
  <c r="K179" i="10"/>
  <c r="K199" i="10"/>
  <c r="K239" i="10"/>
  <c r="K189" i="10"/>
  <c r="K229" i="10"/>
  <c r="K219" i="10"/>
  <c r="K159" i="10"/>
  <c r="K49" i="10"/>
  <c r="K59" i="10"/>
  <c r="K139" i="10"/>
  <c r="K129" i="10"/>
  <c r="K209" i="10"/>
  <c r="K109" i="10"/>
  <c r="K119" i="10"/>
  <c r="K79" i="10"/>
  <c r="K69" i="10"/>
  <c r="K149" i="10"/>
  <c r="K89" i="10"/>
  <c r="K99" i="10"/>
  <c r="L24" i="9"/>
  <c r="L22" i="6"/>
  <c r="L21" i="5"/>
  <c r="L20" i="5" s="1" a="1"/>
  <c r="K24" i="9"/>
  <c r="K22" i="6"/>
  <c r="K21" i="5"/>
  <c r="K20" i="5" s="1" a="1"/>
  <c r="O25" i="10"/>
  <c r="L16" i="9" s="1"/>
  <c r="O25" i="8"/>
  <c r="L14" i="6" s="1"/>
  <c r="P29" i="4"/>
  <c r="O25" i="7"/>
  <c r="L13" i="5" s="1"/>
  <c r="U45" i="10" l="1"/>
  <c r="V45" i="10" s="1"/>
  <c r="J46" i="10" a="1"/>
  <c r="X45" i="10"/>
  <c r="K138" i="7"/>
  <c r="L139" i="7" a="1"/>
  <c r="K198" i="7"/>
  <c r="P54" i="5" s="1"/>
  <c r="C54" i="5" s="1"/>
  <c r="L199" i="7" a="1"/>
  <c r="L79" i="7" a="1"/>
  <c r="K48" i="7"/>
  <c r="P39" i="5" s="1"/>
  <c r="L47" i="7" a="1"/>
  <c r="L48" i="7" s="1"/>
  <c r="J46" i="8" a="1"/>
  <c r="Q46" i="8" s="1"/>
  <c r="R46" i="8" s="1"/>
  <c r="U45" i="8"/>
  <c r="V45" i="8" s="1"/>
  <c r="X45" i="8" s="1"/>
  <c r="L49" i="7" a="1"/>
  <c r="L77" i="7" a="1"/>
  <c r="L78" i="7" s="1"/>
  <c r="Q42" i="5" s="1"/>
  <c r="L137" i="7" a="1"/>
  <c r="L138" i="7" s="1"/>
  <c r="Q48" i="5" s="1"/>
  <c r="L157" i="7" a="1"/>
  <c r="L158" i="7" s="1"/>
  <c r="L197" i="7" a="1"/>
  <c r="L198" i="7" s="1"/>
  <c r="Q54" i="5" s="1"/>
  <c r="L177" i="7" a="1"/>
  <c r="L178" i="7" s="1"/>
  <c r="L167" i="7" a="1"/>
  <c r="L168" i="7" s="1"/>
  <c r="L127" i="7" a="1"/>
  <c r="L128" i="7" s="1"/>
  <c r="L107" i="7" a="1"/>
  <c r="L108" i="7" s="1"/>
  <c r="L99" i="7" a="1"/>
  <c r="P48" i="5"/>
  <c r="K148" i="7"/>
  <c r="P49" i="5" s="1"/>
  <c r="L149" i="7" a="1"/>
  <c r="Q49" i="5" s="1"/>
  <c r="L57" i="7" a="1"/>
  <c r="L58" i="7" s="1"/>
  <c r="K58" i="7"/>
  <c r="P40" i="5" s="1"/>
  <c r="L59" i="7" a="1"/>
  <c r="L119" i="7" a="1"/>
  <c r="L117" i="7" a="1"/>
  <c r="L118" i="7" s="1"/>
  <c r="Q46" i="5" s="1"/>
  <c r="L209" i="7" a="1"/>
  <c r="L207" i="7" a="1"/>
  <c r="L208" i="7" s="1"/>
  <c r="Q55" i="5" s="1"/>
  <c r="L109" i="7" a="1"/>
  <c r="L97" i="7" a="1"/>
  <c r="L98" i="7" s="1"/>
  <c r="L227" i="7" a="1"/>
  <c r="L228" i="7" s="1"/>
  <c r="L219" i="7" a="1"/>
  <c r="L217" i="7" a="1"/>
  <c r="L218" i="7" s="1"/>
  <c r="Q56" i="5" s="1"/>
  <c r="L89" i="7" a="1"/>
  <c r="K188" i="7"/>
  <c r="P53" i="5" s="1"/>
  <c r="L189" i="7" a="1"/>
  <c r="L187" i="7" a="1"/>
  <c r="L188" i="7" s="1"/>
  <c r="N80" i="6"/>
  <c r="Y194" i="8"/>
  <c r="L239" i="7" a="1"/>
  <c r="K238" i="7"/>
  <c r="P58" i="5" s="1"/>
  <c r="L237" i="7" a="1"/>
  <c r="L238" i="7" s="1"/>
  <c r="K178" i="7"/>
  <c r="P52" i="5" s="1"/>
  <c r="L179" i="7" a="1"/>
  <c r="K158" i="7"/>
  <c r="P50" i="5" s="1"/>
  <c r="L159" i="7" a="1"/>
  <c r="K168" i="7"/>
  <c r="P51" i="5" s="1"/>
  <c r="L169" i="7" a="1"/>
  <c r="K128" i="7"/>
  <c r="P47" i="5" s="1"/>
  <c r="L129" i="7" a="1"/>
  <c r="N84" i="6"/>
  <c r="Y234" i="8"/>
  <c r="L67" i="7" a="1"/>
  <c r="L68" i="7" s="1"/>
  <c r="K68" i="7"/>
  <c r="P41" i="5" s="1"/>
  <c r="L69" i="7" a="1"/>
  <c r="W195" i="8"/>
  <c r="Q195" i="8"/>
  <c r="R195" i="8" s="1"/>
  <c r="Q235" i="8"/>
  <c r="R235" i="8" s="1"/>
  <c r="W235" i="8"/>
  <c r="K88" i="7"/>
  <c r="P43" i="5" s="1"/>
  <c r="L87" i="7" a="1"/>
  <c r="L88" i="7" s="1"/>
  <c r="K228" i="7"/>
  <c r="P57" i="5" s="1"/>
  <c r="L229" i="7" a="1"/>
  <c r="G42" i="5"/>
  <c r="F42" i="5"/>
  <c r="E42" i="5"/>
  <c r="D42" i="5"/>
  <c r="W46" i="8"/>
  <c r="W46" i="10"/>
  <c r="Q46" i="10"/>
  <c r="R46" i="10" s="1"/>
  <c r="Y45" i="10"/>
  <c r="O67" i="9"/>
  <c r="W155" i="8"/>
  <c r="Q155" i="8"/>
  <c r="R155" i="8" s="1"/>
  <c r="N76" i="6"/>
  <c r="Y154" i="8"/>
  <c r="W225" i="10"/>
  <c r="Q225" i="10"/>
  <c r="R225" i="10" s="1"/>
  <c r="N85" i="9"/>
  <c r="Y224" i="10"/>
  <c r="W235" i="10"/>
  <c r="Q235" i="10"/>
  <c r="R235" i="10" s="1"/>
  <c r="N86" i="9"/>
  <c r="Y234" i="10"/>
  <c r="W175" i="10"/>
  <c r="Q175" i="10"/>
  <c r="R175" i="10" s="1"/>
  <c r="N80" i="9"/>
  <c r="Y174" i="10"/>
  <c r="W215" i="10"/>
  <c r="Q215" i="10"/>
  <c r="R215" i="10" s="1"/>
  <c r="N84" i="9"/>
  <c r="Y214" i="10"/>
  <c r="Y164" i="10"/>
  <c r="N79" i="9"/>
  <c r="W165" i="10"/>
  <c r="Q165" i="10"/>
  <c r="R165" i="10" s="1"/>
  <c r="W205" i="10"/>
  <c r="Q205" i="10"/>
  <c r="R205" i="10" s="1"/>
  <c r="Y204" i="10"/>
  <c r="N83" i="9"/>
  <c r="N75" i="9"/>
  <c r="Y124" i="10"/>
  <c r="W125" i="10"/>
  <c r="Q125" i="10"/>
  <c r="R125" i="10" s="1"/>
  <c r="W145" i="10"/>
  <c r="Q145" i="10"/>
  <c r="R145" i="10" s="1"/>
  <c r="N77" i="9"/>
  <c r="Y144" i="10"/>
  <c r="W55" i="10"/>
  <c r="Q55" i="10"/>
  <c r="R55" i="10" s="1"/>
  <c r="N68" i="9"/>
  <c r="Y54" i="10"/>
  <c r="W115" i="10"/>
  <c r="Q115" i="10"/>
  <c r="R115" i="10" s="1"/>
  <c r="N74" i="9"/>
  <c r="Y114" i="10"/>
  <c r="W135" i="10"/>
  <c r="Q135" i="10"/>
  <c r="R135" i="10" s="1"/>
  <c r="N76" i="9"/>
  <c r="Y134" i="10"/>
  <c r="W195" i="10"/>
  <c r="Q195" i="10"/>
  <c r="R195" i="10" s="1"/>
  <c r="N82" i="9"/>
  <c r="Y194" i="10"/>
  <c r="W105" i="10"/>
  <c r="Q105" i="10"/>
  <c r="R105" i="10" s="1"/>
  <c r="N73" i="9"/>
  <c r="Y104" i="10"/>
  <c r="W185" i="10"/>
  <c r="Q185" i="10"/>
  <c r="R185" i="10" s="1"/>
  <c r="N81" i="9"/>
  <c r="Y184" i="10"/>
  <c r="N71" i="9"/>
  <c r="Y84" i="10"/>
  <c r="W85" i="10"/>
  <c r="Q85" i="10"/>
  <c r="R85" i="10" s="1"/>
  <c r="W95" i="10"/>
  <c r="Q95" i="10"/>
  <c r="R95" i="10" s="1"/>
  <c r="N72" i="9"/>
  <c r="Y94" i="10"/>
  <c r="W155" i="10"/>
  <c r="Q155" i="10"/>
  <c r="R155" i="10" s="1"/>
  <c r="N78" i="9"/>
  <c r="Y154" i="10"/>
  <c r="W75" i="10"/>
  <c r="Q75" i="10"/>
  <c r="R75" i="10" s="1"/>
  <c r="N70" i="9"/>
  <c r="Y74" i="10"/>
  <c r="N69" i="9"/>
  <c r="Y64" i="10"/>
  <c r="W65" i="10"/>
  <c r="Q65" i="10"/>
  <c r="R65" i="10" s="1"/>
  <c r="Q95" i="8"/>
  <c r="R95" i="8" s="1"/>
  <c r="W95" i="8"/>
  <c r="N70" i="6"/>
  <c r="Y94" i="8"/>
  <c r="W215" i="8"/>
  <c r="Q215" i="8"/>
  <c r="R215" i="8" s="1"/>
  <c r="N82" i="6"/>
  <c r="Y214" i="8"/>
  <c r="W135" i="8"/>
  <c r="Q135" i="8"/>
  <c r="R135" i="8" s="1"/>
  <c r="N74" i="6"/>
  <c r="Y134" i="8"/>
  <c r="W65" i="8"/>
  <c r="Q65" i="8"/>
  <c r="R65" i="8" s="1"/>
  <c r="N67" i="6"/>
  <c r="Y64" i="8"/>
  <c r="Q115" i="8"/>
  <c r="R115" i="8" s="1"/>
  <c r="W115" i="8"/>
  <c r="N72" i="6"/>
  <c r="Y114" i="8"/>
  <c r="W55" i="8"/>
  <c r="Q55" i="8"/>
  <c r="R55" i="8" s="1"/>
  <c r="N66" i="6"/>
  <c r="Y54" i="8"/>
  <c r="W165" i="8"/>
  <c r="Q165" i="8"/>
  <c r="R165" i="8" s="1"/>
  <c r="N77" i="6"/>
  <c r="Y164" i="8"/>
  <c r="W85" i="8"/>
  <c r="Q85" i="8"/>
  <c r="R85" i="8" s="1"/>
  <c r="N69" i="6"/>
  <c r="Y84" i="8"/>
  <c r="W75" i="8"/>
  <c r="Q75" i="8"/>
  <c r="R75" i="8" s="1"/>
  <c r="N68" i="6"/>
  <c r="Y74" i="8"/>
  <c r="W105" i="8"/>
  <c r="Q105" i="8"/>
  <c r="R105" i="8" s="1"/>
  <c r="Y104" i="8"/>
  <c r="N71" i="6"/>
  <c r="W205" i="8"/>
  <c r="Q205" i="8"/>
  <c r="R205" i="8" s="1"/>
  <c r="Y204" i="8"/>
  <c r="N81" i="6"/>
  <c r="W225" i="8"/>
  <c r="Q225" i="8"/>
  <c r="R225" i="8" s="1"/>
  <c r="N83" i="6"/>
  <c r="Y224" i="8"/>
  <c r="N75" i="6"/>
  <c r="Y144" i="8"/>
  <c r="W145" i="8"/>
  <c r="Q145" i="8"/>
  <c r="R145" i="8" s="1"/>
  <c r="N78" i="6"/>
  <c r="Y174" i="8"/>
  <c r="W175" i="8"/>
  <c r="Q175" i="8"/>
  <c r="R175" i="8" s="1"/>
  <c r="Q185" i="8"/>
  <c r="R185" i="8" s="1"/>
  <c r="W185" i="8"/>
  <c r="N79" i="6"/>
  <c r="Y184" i="8"/>
  <c r="W125" i="8"/>
  <c r="Q125" i="8"/>
  <c r="R125" i="8" s="1"/>
  <c r="N73" i="6"/>
  <c r="Y124" i="8"/>
  <c r="S25" i="10"/>
  <c r="F17" i="9" s="1"/>
  <c r="W25" i="10"/>
  <c r="J17" i="9" s="1"/>
  <c r="V25" i="10"/>
  <c r="I17" i="9" s="1"/>
  <c r="X25" i="10"/>
  <c r="K17" i="9" s="1"/>
  <c r="R25" i="10"/>
  <c r="E17" i="9" s="1"/>
  <c r="Y25" i="10"/>
  <c r="L17" i="9" s="1"/>
  <c r="P25" i="10"/>
  <c r="C17" i="9" s="1"/>
  <c r="C25" i="9" s="1"/>
  <c r="T25" i="10"/>
  <c r="G17" i="9" s="1"/>
  <c r="U25" i="10"/>
  <c r="H17" i="9" s="1"/>
  <c r="Q25" i="10"/>
  <c r="D17" i="9" s="1"/>
  <c r="R25" i="8"/>
  <c r="E15" i="6" s="1"/>
  <c r="Y25" i="8"/>
  <c r="L15" i="6" s="1"/>
  <c r="P25" i="8"/>
  <c r="C15" i="6" s="1"/>
  <c r="C23" i="6" s="1"/>
  <c r="Q25" i="8"/>
  <c r="D15" i="6" s="1"/>
  <c r="W25" i="8"/>
  <c r="J15" i="6" s="1"/>
  <c r="V25" i="8"/>
  <c r="I15" i="6" s="1"/>
  <c r="S25" i="8"/>
  <c r="F15" i="6" s="1"/>
  <c r="T25" i="8"/>
  <c r="G15" i="6" s="1"/>
  <c r="U25" i="8"/>
  <c r="H15" i="6" s="1"/>
  <c r="X25" i="8"/>
  <c r="K15" i="6" s="1"/>
  <c r="Y25" i="7"/>
  <c r="L14" i="5" s="1"/>
  <c r="V25" i="7"/>
  <c r="I14" i="5" s="1"/>
  <c r="Q25" i="7"/>
  <c r="D14" i="5" s="1"/>
  <c r="S25" i="7"/>
  <c r="F14" i="5" s="1"/>
  <c r="X25" i="7"/>
  <c r="K14" i="5" s="1"/>
  <c r="R25" i="7"/>
  <c r="E14" i="5" s="1"/>
  <c r="P25" i="7"/>
  <c r="C14" i="5" s="1"/>
  <c r="C22" i="5" s="1"/>
  <c r="C23" i="5" s="1"/>
  <c r="W25" i="7"/>
  <c r="J14" i="5" s="1"/>
  <c r="T25" i="7"/>
  <c r="G14" i="5" s="1"/>
  <c r="AJ25" i="7"/>
  <c r="C16" i="5" s="1"/>
  <c r="C17" i="5" s="1"/>
  <c r="U25" i="7"/>
  <c r="H14" i="5" s="1"/>
  <c r="Q39" i="5" l="1"/>
  <c r="C39" i="5" s="1"/>
  <c r="E54" i="5"/>
  <c r="G54" i="5"/>
  <c r="D54" i="5"/>
  <c r="F54" i="5"/>
  <c r="Y45" i="8"/>
  <c r="O65" i="6"/>
  <c r="Q40" i="5"/>
  <c r="C40" i="5" s="1"/>
  <c r="G40" i="5" s="1"/>
  <c r="Q50" i="5"/>
  <c r="C50" i="5" s="1"/>
  <c r="Q45" i="5"/>
  <c r="Q44" i="5"/>
  <c r="Q52" i="5"/>
  <c r="Q51" i="5"/>
  <c r="Q47" i="5"/>
  <c r="Q57" i="5"/>
  <c r="C57" i="5" s="1"/>
  <c r="Q53" i="5"/>
  <c r="Q58" i="5"/>
  <c r="Q43" i="5"/>
  <c r="C43" i="5" s="1"/>
  <c r="Q41" i="5"/>
  <c r="C41" i="5" s="1"/>
  <c r="J196" i="8" a="1"/>
  <c r="U195" i="8"/>
  <c r="V195" i="8" s="1"/>
  <c r="X195" i="8" s="1"/>
  <c r="O80" i="6" s="1"/>
  <c r="J236" i="8" a="1"/>
  <c r="U235" i="8"/>
  <c r="V235" i="8" s="1"/>
  <c r="X235" i="8" s="1"/>
  <c r="J47" i="8" a="1"/>
  <c r="U46" i="8"/>
  <c r="V46" i="8" s="1"/>
  <c r="X46" i="8" s="1"/>
  <c r="J47" i="10" a="1"/>
  <c r="U46" i="10"/>
  <c r="V46" i="10" s="1"/>
  <c r="X46" i="10" s="1"/>
  <c r="J156" i="8" a="1"/>
  <c r="U155" i="8"/>
  <c r="V155" i="8" s="1"/>
  <c r="X155" i="8" s="1"/>
  <c r="U225" i="10"/>
  <c r="V225" i="10" s="1"/>
  <c r="X225" i="10" s="1"/>
  <c r="J226" i="10" a="1"/>
  <c r="J236" i="10" a="1"/>
  <c r="U235" i="10"/>
  <c r="V235" i="10" s="1"/>
  <c r="X235" i="10" s="1"/>
  <c r="J176" i="10" a="1"/>
  <c r="U175" i="10"/>
  <c r="V175" i="10" s="1"/>
  <c r="X175" i="10" s="1"/>
  <c r="U215" i="10"/>
  <c r="V215" i="10" s="1"/>
  <c r="X215" i="10" s="1"/>
  <c r="J216" i="10" a="1"/>
  <c r="J166" i="10" a="1"/>
  <c r="U165" i="10"/>
  <c r="V165" i="10" s="1"/>
  <c r="X165" i="10" s="1"/>
  <c r="J206" i="10" a="1"/>
  <c r="U205" i="10"/>
  <c r="V205" i="10" s="1"/>
  <c r="X205" i="10" s="1"/>
  <c r="J126" i="10" a="1"/>
  <c r="U125" i="10"/>
  <c r="V125" i="10" s="1"/>
  <c r="X125" i="10" s="1"/>
  <c r="J146" i="10" a="1"/>
  <c r="U145" i="10"/>
  <c r="V145" i="10" s="1"/>
  <c r="X145" i="10" s="1"/>
  <c r="J56" i="10" a="1"/>
  <c r="U55" i="10"/>
  <c r="V55" i="10" s="1"/>
  <c r="X55" i="10" s="1"/>
  <c r="U115" i="10"/>
  <c r="V115" i="10" s="1"/>
  <c r="X115" i="10" s="1"/>
  <c r="J116" i="10" a="1"/>
  <c r="J136" i="10" a="1"/>
  <c r="U135" i="10"/>
  <c r="V135" i="10" s="1"/>
  <c r="X135" i="10" s="1"/>
  <c r="U195" i="10"/>
  <c r="V195" i="10" s="1"/>
  <c r="X195" i="10" s="1"/>
  <c r="J196" i="10" a="1"/>
  <c r="J106" i="10" a="1"/>
  <c r="U105" i="10"/>
  <c r="V105" i="10" s="1"/>
  <c r="X105" i="10" s="1"/>
  <c r="U185" i="10"/>
  <c r="V185" i="10" s="1"/>
  <c r="X185" i="10" s="1"/>
  <c r="J186" i="10" a="1"/>
  <c r="J86" i="10" a="1"/>
  <c r="U85" i="10"/>
  <c r="V85" i="10" s="1"/>
  <c r="X85" i="10" s="1"/>
  <c r="U95" i="10"/>
  <c r="V95" i="10" s="1"/>
  <c r="X95" i="10" s="1"/>
  <c r="J96" i="10" a="1"/>
  <c r="U155" i="10"/>
  <c r="V155" i="10" s="1"/>
  <c r="X155" i="10" s="1"/>
  <c r="J156" i="10" a="1"/>
  <c r="U75" i="10"/>
  <c r="V75" i="10" s="1"/>
  <c r="X75" i="10" s="1"/>
  <c r="J76" i="10" a="1"/>
  <c r="U65" i="10"/>
  <c r="V65" i="10" s="1"/>
  <c r="X65" i="10" s="1"/>
  <c r="J66" i="10" a="1"/>
  <c r="U95" i="8"/>
  <c r="V95" i="8" s="1"/>
  <c r="X95" i="8" s="1"/>
  <c r="J96" i="8" a="1"/>
  <c r="J216" i="8" a="1"/>
  <c r="U215" i="8"/>
  <c r="V215" i="8" s="1"/>
  <c r="X215" i="8" s="1"/>
  <c r="J136" i="8" a="1"/>
  <c r="U135" i="8"/>
  <c r="V135" i="8" s="1"/>
  <c r="X135" i="8" s="1"/>
  <c r="J66" i="8" a="1"/>
  <c r="U65" i="8"/>
  <c r="V65" i="8" s="1"/>
  <c r="X65" i="8" s="1"/>
  <c r="J116" i="8" a="1"/>
  <c r="U115" i="8"/>
  <c r="V115" i="8" s="1"/>
  <c r="X115" i="8" s="1"/>
  <c r="J56" i="8" a="1"/>
  <c r="U55" i="8"/>
  <c r="V55" i="8" s="1"/>
  <c r="X55" i="8" s="1"/>
  <c r="J166" i="8" a="1"/>
  <c r="U165" i="8"/>
  <c r="V165" i="8" s="1"/>
  <c r="X165" i="8" s="1"/>
  <c r="J86" i="8" a="1"/>
  <c r="U85" i="8"/>
  <c r="V85" i="8" s="1"/>
  <c r="X85" i="8" s="1"/>
  <c r="J76" i="8" a="1"/>
  <c r="U75" i="8"/>
  <c r="V75" i="8" s="1"/>
  <c r="X75" i="8" s="1"/>
  <c r="J106" i="8" a="1"/>
  <c r="U105" i="8"/>
  <c r="V105" i="8" s="1"/>
  <c r="X105" i="8" s="1"/>
  <c r="J206" i="8" a="1"/>
  <c r="U205" i="8"/>
  <c r="V205" i="8" s="1"/>
  <c r="X205" i="8" s="1"/>
  <c r="J226" i="8" a="1"/>
  <c r="U225" i="8"/>
  <c r="V225" i="8" s="1"/>
  <c r="X225" i="8" s="1"/>
  <c r="J146" i="8" a="1"/>
  <c r="U145" i="8"/>
  <c r="V145" i="8" s="1"/>
  <c r="X145" i="8" s="1"/>
  <c r="J176" i="8" a="1"/>
  <c r="U175" i="8"/>
  <c r="V175" i="8" s="1"/>
  <c r="X175" i="8" s="1"/>
  <c r="U185" i="8"/>
  <c r="V185" i="8" s="1"/>
  <c r="X185" i="8" s="1"/>
  <c r="J186" i="8" a="1"/>
  <c r="J126" i="8" a="1"/>
  <c r="U125" i="8"/>
  <c r="V125" i="8" s="1"/>
  <c r="X125" i="8" s="1"/>
  <c r="Y195" i="8"/>
  <c r="C30" i="9"/>
  <c r="C26" i="9"/>
  <c r="C28" i="6"/>
  <c r="C24" i="6"/>
  <c r="C24" i="5"/>
  <c r="AJ25" i="10"/>
  <c r="C19" i="9" s="1"/>
  <c r="C20" i="9" s="1"/>
  <c r="AA25" i="10"/>
  <c r="D18" i="9" s="1"/>
  <c r="AA25" i="8"/>
  <c r="D16" i="6" s="1"/>
  <c r="AJ25" i="8"/>
  <c r="C17" i="6" s="1"/>
  <c r="C18" i="6" s="1"/>
  <c r="AK25" i="7"/>
  <c r="D16" i="5" s="1"/>
  <c r="D17" i="5" s="1"/>
  <c r="AA25" i="7"/>
  <c r="D15" i="5" s="1"/>
  <c r="B60" i="5"/>
  <c r="B61" i="5" s="1"/>
  <c r="E39" i="5" l="1"/>
  <c r="G39" i="5"/>
  <c r="F39" i="5"/>
  <c r="D39" i="5"/>
  <c r="F50" i="5"/>
  <c r="D50" i="5"/>
  <c r="G50" i="5"/>
  <c r="E50" i="5"/>
  <c r="E40" i="5"/>
  <c r="F40" i="5"/>
  <c r="D40" i="5"/>
  <c r="E43" i="5"/>
  <c r="D43" i="5"/>
  <c r="F43" i="5"/>
  <c r="G43" i="5"/>
  <c r="E57" i="5"/>
  <c r="D57" i="5"/>
  <c r="G57" i="5"/>
  <c r="F57" i="5"/>
  <c r="G41" i="5"/>
  <c r="E41" i="5"/>
  <c r="D41" i="5"/>
  <c r="F41" i="5"/>
  <c r="O84" i="6"/>
  <c r="Y235" i="8"/>
  <c r="W196" i="8"/>
  <c r="Q196" i="8"/>
  <c r="R196" i="8" s="1"/>
  <c r="Q236" i="8"/>
  <c r="R236" i="8" s="1"/>
  <c r="W236" i="8"/>
  <c r="W47" i="8"/>
  <c r="Q47" i="8"/>
  <c r="R47" i="8" s="1"/>
  <c r="P65" i="6"/>
  <c r="Y46" i="8"/>
  <c r="W47" i="10"/>
  <c r="Q47" i="10"/>
  <c r="R47" i="10" s="1"/>
  <c r="P67" i="9"/>
  <c r="Y46" i="10"/>
  <c r="W156" i="8"/>
  <c r="Q156" i="8"/>
  <c r="R156" i="8" s="1"/>
  <c r="O76" i="6"/>
  <c r="Y155" i="8"/>
  <c r="O85" i="9"/>
  <c r="Y225" i="10"/>
  <c r="W226" i="10"/>
  <c r="Q226" i="10"/>
  <c r="R226" i="10" s="1"/>
  <c r="W236" i="10"/>
  <c r="Q236" i="10"/>
  <c r="R236" i="10" s="1"/>
  <c r="O86" i="9"/>
  <c r="Y235" i="10"/>
  <c r="W176" i="10"/>
  <c r="Q176" i="10"/>
  <c r="R176" i="10" s="1"/>
  <c r="O80" i="9"/>
  <c r="Y175" i="10"/>
  <c r="O84" i="9"/>
  <c r="Y215" i="10"/>
  <c r="W216" i="10"/>
  <c r="Q216" i="10"/>
  <c r="R216" i="10" s="1"/>
  <c r="W166" i="10"/>
  <c r="Q166" i="10"/>
  <c r="R166" i="10" s="1"/>
  <c r="O79" i="9"/>
  <c r="Y165" i="10"/>
  <c r="W206" i="10"/>
  <c r="Q206" i="10"/>
  <c r="R206" i="10" s="1"/>
  <c r="O83" i="9"/>
  <c r="Y205" i="10"/>
  <c r="W126" i="10"/>
  <c r="Q126" i="10"/>
  <c r="R126" i="10" s="1"/>
  <c r="O75" i="9"/>
  <c r="Y125" i="10"/>
  <c r="W146" i="10"/>
  <c r="Q146" i="10"/>
  <c r="R146" i="10" s="1"/>
  <c r="O77" i="9"/>
  <c r="Y145" i="10"/>
  <c r="W56" i="10"/>
  <c r="Q56" i="10"/>
  <c r="R56" i="10" s="1"/>
  <c r="O68" i="9"/>
  <c r="Y55" i="10"/>
  <c r="O74" i="9"/>
  <c r="Y115" i="10"/>
  <c r="W116" i="10"/>
  <c r="Q116" i="10"/>
  <c r="R116" i="10" s="1"/>
  <c r="W136" i="10"/>
  <c r="Q136" i="10"/>
  <c r="R136" i="10" s="1"/>
  <c r="O76" i="9"/>
  <c r="Y135" i="10"/>
  <c r="O82" i="9"/>
  <c r="Y195" i="10"/>
  <c r="W196" i="10"/>
  <c r="Q196" i="10"/>
  <c r="R196" i="10" s="1"/>
  <c r="W106" i="10"/>
  <c r="Q106" i="10"/>
  <c r="R106" i="10" s="1"/>
  <c r="O73" i="9"/>
  <c r="Y105" i="10"/>
  <c r="O81" i="9"/>
  <c r="Y185" i="10"/>
  <c r="W186" i="10"/>
  <c r="Q186" i="10"/>
  <c r="R186" i="10" s="1"/>
  <c r="Q86" i="10"/>
  <c r="R86" i="10" s="1"/>
  <c r="W86" i="10"/>
  <c r="O71" i="9"/>
  <c r="Y85" i="10"/>
  <c r="O72" i="9"/>
  <c r="Y95" i="10"/>
  <c r="W96" i="10"/>
  <c r="Q96" i="10"/>
  <c r="R96" i="10" s="1"/>
  <c r="O78" i="9"/>
  <c r="Y155" i="10"/>
  <c r="W156" i="10"/>
  <c r="Q156" i="10"/>
  <c r="R156" i="10" s="1"/>
  <c r="O70" i="9"/>
  <c r="Y75" i="10"/>
  <c r="W76" i="10"/>
  <c r="Q76" i="10"/>
  <c r="R76" i="10" s="1"/>
  <c r="O69" i="9"/>
  <c r="Y65" i="10"/>
  <c r="W66" i="10"/>
  <c r="Q66" i="10"/>
  <c r="R66" i="10" s="1"/>
  <c r="O70" i="6"/>
  <c r="Y95" i="8"/>
  <c r="W96" i="8"/>
  <c r="Q96" i="8"/>
  <c r="R96" i="8" s="1"/>
  <c r="W216" i="8"/>
  <c r="Q216" i="8"/>
  <c r="R216" i="8" s="1"/>
  <c r="O82" i="6"/>
  <c r="Y215" i="8"/>
  <c r="W136" i="8"/>
  <c r="Q136" i="8"/>
  <c r="R136" i="8" s="1"/>
  <c r="O74" i="6"/>
  <c r="Y135" i="8"/>
  <c r="W66" i="8"/>
  <c r="Q66" i="8"/>
  <c r="R66" i="8" s="1"/>
  <c r="O67" i="6"/>
  <c r="Y65" i="8"/>
  <c r="W116" i="8"/>
  <c r="Q116" i="8"/>
  <c r="R116" i="8" s="1"/>
  <c r="O72" i="6"/>
  <c r="Y115" i="8"/>
  <c r="W56" i="8"/>
  <c r="Q56" i="8"/>
  <c r="R56" i="8" s="1"/>
  <c r="O66" i="6"/>
  <c r="Y55" i="8"/>
  <c r="W166" i="8"/>
  <c r="Q166" i="8"/>
  <c r="R166" i="8" s="1"/>
  <c r="O77" i="6"/>
  <c r="Y165" i="8"/>
  <c r="W86" i="8"/>
  <c r="Q86" i="8"/>
  <c r="R86" i="8" s="1"/>
  <c r="O69" i="6"/>
  <c r="Y85" i="8"/>
  <c r="W76" i="8"/>
  <c r="Q76" i="8"/>
  <c r="R76" i="8" s="1"/>
  <c r="O68" i="6"/>
  <c r="Y75" i="8"/>
  <c r="W106" i="8"/>
  <c r="Q106" i="8"/>
  <c r="R106" i="8" s="1"/>
  <c r="O71" i="6"/>
  <c r="Y105" i="8"/>
  <c r="W206" i="8"/>
  <c r="Q206" i="8"/>
  <c r="R206" i="8" s="1"/>
  <c r="O81" i="6"/>
  <c r="Y205" i="8"/>
  <c r="W226" i="8"/>
  <c r="Q226" i="8"/>
  <c r="R226" i="8" s="1"/>
  <c r="O83" i="6"/>
  <c r="Y225" i="8"/>
  <c r="W146" i="8"/>
  <c r="Q146" i="8"/>
  <c r="R146" i="8" s="1"/>
  <c r="O75" i="6"/>
  <c r="Y145" i="8"/>
  <c r="W176" i="8"/>
  <c r="Q176" i="8"/>
  <c r="R176" i="8" s="1"/>
  <c r="O78" i="6"/>
  <c r="Y175" i="8"/>
  <c r="O79" i="6"/>
  <c r="Y185" i="8"/>
  <c r="Q186" i="8"/>
  <c r="R186" i="8" s="1"/>
  <c r="W186" i="8"/>
  <c r="W126" i="8"/>
  <c r="Q126" i="8"/>
  <c r="R126" i="8" s="1"/>
  <c r="O73" i="6"/>
  <c r="Y125" i="8"/>
  <c r="D22" i="5" a="1"/>
  <c r="C27" i="9"/>
  <c r="C25" i="6"/>
  <c r="D23" i="6" s="1" a="1"/>
  <c r="C25" i="5"/>
  <c r="C26" i="5" s="1"/>
  <c r="C28" i="5" s="1"/>
  <c r="B62" i="5"/>
  <c r="AK25" i="10"/>
  <c r="D19" i="9" s="1"/>
  <c r="D20" i="9" s="1"/>
  <c r="AB25" i="10"/>
  <c r="E18" i="9" s="1"/>
  <c r="AK25" i="8"/>
  <c r="D17" i="6" s="1"/>
  <c r="D18" i="6" s="1"/>
  <c r="AB25" i="8"/>
  <c r="E16" i="6" s="1"/>
  <c r="AB25" i="7"/>
  <c r="E15" i="5" s="1"/>
  <c r="AL25" i="7"/>
  <c r="E16" i="5" s="1"/>
  <c r="E17" i="5" s="1"/>
  <c r="J237" i="8" l="1" a="1"/>
  <c r="U236" i="8"/>
  <c r="V236" i="8" s="1"/>
  <c r="X236" i="8" s="1"/>
  <c r="U196" i="8"/>
  <c r="V196" i="8" s="1"/>
  <c r="X196" i="8" s="1"/>
  <c r="J197" i="8" a="1"/>
  <c r="J48" i="8" a="1"/>
  <c r="U47" i="8"/>
  <c r="V47" i="8" s="1"/>
  <c r="X47" i="8" s="1"/>
  <c r="J48" i="10" a="1"/>
  <c r="U47" i="10"/>
  <c r="V47" i="10" s="1"/>
  <c r="X47" i="10" s="1"/>
  <c r="J157" i="8" a="1"/>
  <c r="U156" i="8"/>
  <c r="V156" i="8" s="1"/>
  <c r="X156" i="8" s="1"/>
  <c r="U226" i="10"/>
  <c r="V226" i="10" s="1"/>
  <c r="X226" i="10" s="1"/>
  <c r="J227" i="10" a="1"/>
  <c r="U236" i="10"/>
  <c r="V236" i="10" s="1"/>
  <c r="X236" i="10" s="1"/>
  <c r="J237" i="10" a="1"/>
  <c r="J177" i="10" a="1"/>
  <c r="U176" i="10"/>
  <c r="V176" i="10" s="1"/>
  <c r="X176" i="10" s="1"/>
  <c r="J217" i="10" a="1"/>
  <c r="U216" i="10"/>
  <c r="V216" i="10" s="1"/>
  <c r="X216" i="10" s="1"/>
  <c r="J167" i="10" a="1"/>
  <c r="U166" i="10"/>
  <c r="V166" i="10" s="1"/>
  <c r="J207" i="10" a="1"/>
  <c r="U206" i="10"/>
  <c r="V206" i="10" s="1"/>
  <c r="J127" i="10" a="1"/>
  <c r="U126" i="10"/>
  <c r="V126" i="10" s="1"/>
  <c r="X126" i="10" s="1"/>
  <c r="J147" i="10" a="1"/>
  <c r="U146" i="10"/>
  <c r="V146" i="10" s="1"/>
  <c r="X146" i="10" s="1"/>
  <c r="J57" i="10" a="1"/>
  <c r="U56" i="10"/>
  <c r="V56" i="10" s="1"/>
  <c r="X56" i="10" s="1"/>
  <c r="J117" i="10" a="1"/>
  <c r="U116" i="10"/>
  <c r="V116" i="10" s="1"/>
  <c r="X116" i="10" s="1"/>
  <c r="J137" i="10" a="1"/>
  <c r="U136" i="10"/>
  <c r="V136" i="10" s="1"/>
  <c r="X136" i="10" s="1"/>
  <c r="J197" i="10" a="1"/>
  <c r="U196" i="10"/>
  <c r="V196" i="10" s="1"/>
  <c r="X196" i="10" s="1"/>
  <c r="J107" i="10" a="1"/>
  <c r="U106" i="10"/>
  <c r="V106" i="10" s="1"/>
  <c r="X106" i="10" s="1"/>
  <c r="U186" i="10"/>
  <c r="V186" i="10" s="1"/>
  <c r="X186" i="10" s="1"/>
  <c r="J187" i="10" a="1"/>
  <c r="J87" i="10" a="1"/>
  <c r="U86" i="10"/>
  <c r="V86" i="10" s="1"/>
  <c r="X86" i="10" s="1"/>
  <c r="J97" i="10" a="1"/>
  <c r="U96" i="10"/>
  <c r="V96" i="10" s="1"/>
  <c r="X96" i="10" s="1"/>
  <c r="J157" i="10" a="1"/>
  <c r="U156" i="10"/>
  <c r="V156" i="10" s="1"/>
  <c r="X156" i="10" s="1"/>
  <c r="J77" i="10" a="1"/>
  <c r="U76" i="10"/>
  <c r="V76" i="10" s="1"/>
  <c r="X76" i="10" s="1"/>
  <c r="J67" i="10" a="1"/>
  <c r="U66" i="10"/>
  <c r="V66" i="10" s="1"/>
  <c r="X66" i="10" s="1"/>
  <c r="J97" i="8" a="1"/>
  <c r="U96" i="8"/>
  <c r="V96" i="8" s="1"/>
  <c r="X96" i="8" s="1"/>
  <c r="U216" i="8"/>
  <c r="V216" i="8" s="1"/>
  <c r="X216" i="8" s="1"/>
  <c r="J217" i="8" a="1"/>
  <c r="U136" i="8"/>
  <c r="V136" i="8" s="1"/>
  <c r="X136" i="8" s="1"/>
  <c r="J137" i="8" a="1"/>
  <c r="J67" i="8" a="1"/>
  <c r="U66" i="8"/>
  <c r="V66" i="8" s="1"/>
  <c r="X66" i="8" s="1"/>
  <c r="J117" i="8" a="1"/>
  <c r="U116" i="8"/>
  <c r="V116" i="8" s="1"/>
  <c r="X116" i="8" s="1"/>
  <c r="J57" i="8" a="1"/>
  <c r="U56" i="8"/>
  <c r="V56" i="8" s="1"/>
  <c r="X56" i="8" s="1"/>
  <c r="J167" i="8" a="1"/>
  <c r="U166" i="8"/>
  <c r="V166" i="8" s="1"/>
  <c r="X166" i="8" s="1"/>
  <c r="J87" i="8" a="1"/>
  <c r="U86" i="8"/>
  <c r="V86" i="8" s="1"/>
  <c r="X86" i="8" s="1"/>
  <c r="U76" i="8"/>
  <c r="V76" i="8" s="1"/>
  <c r="J77" i="8" a="1"/>
  <c r="J107" i="8" a="1"/>
  <c r="U106" i="8"/>
  <c r="V106" i="8" s="1"/>
  <c r="X106" i="8" s="1"/>
  <c r="J207" i="8" a="1"/>
  <c r="U206" i="8"/>
  <c r="V206" i="8" s="1"/>
  <c r="J227" i="8" a="1"/>
  <c r="U226" i="8"/>
  <c r="V226" i="8" s="1"/>
  <c r="X226" i="8" s="1"/>
  <c r="U146" i="8"/>
  <c r="V146" i="8" s="1"/>
  <c r="X146" i="8" s="1"/>
  <c r="J147" i="8" a="1"/>
  <c r="U176" i="8"/>
  <c r="V176" i="8" s="1"/>
  <c r="X176" i="8" s="1"/>
  <c r="J177" i="8" a="1"/>
  <c r="J187" i="8" a="1"/>
  <c r="U186" i="8"/>
  <c r="V186" i="8" s="1"/>
  <c r="X186" i="8" s="1"/>
  <c r="U126" i="8"/>
  <c r="V126" i="8" s="1"/>
  <c r="X126" i="8" s="1"/>
  <c r="J127" i="8" a="1"/>
  <c r="C28" i="9"/>
  <c r="C29" i="9" s="1"/>
  <c r="C31" i="9" s="1"/>
  <c r="D25" i="9" a="1"/>
  <c r="C26" i="6"/>
  <c r="C27" i="6" s="1"/>
  <c r="C29" i="6" s="1"/>
  <c r="D28" i="6"/>
  <c r="D24" i="6"/>
  <c r="D23" i="5"/>
  <c r="D27" i="5"/>
  <c r="AC25" i="10"/>
  <c r="F18" i="9" s="1"/>
  <c r="AL25" i="10"/>
  <c r="E19" i="9" s="1"/>
  <c r="E20" i="9" s="1"/>
  <c r="AC25" i="7"/>
  <c r="F15" i="5" s="1"/>
  <c r="AL25" i="8"/>
  <c r="E17" i="6" s="1"/>
  <c r="E18" i="6" s="1"/>
  <c r="AC25" i="8"/>
  <c r="F16" i="6" s="1"/>
  <c r="AM25" i="7"/>
  <c r="F16" i="5" s="1"/>
  <c r="F17" i="5" s="1"/>
  <c r="Q237" i="8" l="1"/>
  <c r="R237" i="8" s="1"/>
  <c r="W237" i="8"/>
  <c r="P84" i="6"/>
  <c r="Y236" i="8"/>
  <c r="P80" i="6"/>
  <c r="Y196" i="8"/>
  <c r="W197" i="8"/>
  <c r="Q197" i="8"/>
  <c r="R197" i="8" s="1"/>
  <c r="W48" i="8"/>
  <c r="Q48" i="8"/>
  <c r="R48" i="8" s="1"/>
  <c r="Q65" i="6"/>
  <c r="Y47" i="8"/>
  <c r="W48" i="10"/>
  <c r="Q48" i="10"/>
  <c r="R48" i="10" s="1"/>
  <c r="Q67" i="9"/>
  <c r="Y47" i="10"/>
  <c r="W157" i="8"/>
  <c r="Q157" i="8"/>
  <c r="R157" i="8" s="1"/>
  <c r="P76" i="6"/>
  <c r="Y156" i="8"/>
  <c r="P85" i="9"/>
  <c r="Y226" i="10"/>
  <c r="W227" i="10"/>
  <c r="Q227" i="10"/>
  <c r="R227" i="10" s="1"/>
  <c r="P86" i="9"/>
  <c r="Y236" i="10"/>
  <c r="W237" i="10"/>
  <c r="Q237" i="10"/>
  <c r="R237" i="10" s="1"/>
  <c r="W177" i="10"/>
  <c r="Q177" i="10"/>
  <c r="R177" i="10" s="1"/>
  <c r="P80" i="9"/>
  <c r="Y176" i="10"/>
  <c r="W217" i="10"/>
  <c r="Q217" i="10"/>
  <c r="R217" i="10" s="1"/>
  <c r="P84" i="9"/>
  <c r="Y216" i="10"/>
  <c r="W167" i="10"/>
  <c r="Q167" i="10"/>
  <c r="R167" i="10" s="1"/>
  <c r="W207" i="10"/>
  <c r="Q207" i="10"/>
  <c r="R207" i="10" s="1"/>
  <c r="W127" i="10"/>
  <c r="Q127" i="10"/>
  <c r="R127" i="10" s="1"/>
  <c r="P75" i="9"/>
  <c r="Y126" i="10"/>
  <c r="W147" i="10"/>
  <c r="Q147" i="10"/>
  <c r="R147" i="10" s="1"/>
  <c r="P77" i="9"/>
  <c r="Y146" i="10"/>
  <c r="W57" i="10"/>
  <c r="Q57" i="10"/>
  <c r="R57" i="10" s="1"/>
  <c r="P68" i="9"/>
  <c r="Y56" i="10"/>
  <c r="W117" i="10"/>
  <c r="Q117" i="10"/>
  <c r="R117" i="10" s="1"/>
  <c r="P74" i="9"/>
  <c r="Y116" i="10"/>
  <c r="W137" i="10"/>
  <c r="Q137" i="10"/>
  <c r="R137" i="10" s="1"/>
  <c r="P76" i="9"/>
  <c r="Y136" i="10"/>
  <c r="W197" i="10"/>
  <c r="Q197" i="10"/>
  <c r="R197" i="10" s="1"/>
  <c r="P82" i="9"/>
  <c r="Y196" i="10"/>
  <c r="W107" i="10"/>
  <c r="Q107" i="10"/>
  <c r="R107" i="10" s="1"/>
  <c r="P73" i="9"/>
  <c r="Y106" i="10"/>
  <c r="P81" i="9"/>
  <c r="Y186" i="10"/>
  <c r="W187" i="10"/>
  <c r="Q187" i="10"/>
  <c r="R187" i="10" s="1"/>
  <c r="W87" i="10"/>
  <c r="Q87" i="10"/>
  <c r="R87" i="10" s="1"/>
  <c r="P71" i="9"/>
  <c r="Y86" i="10"/>
  <c r="W97" i="10"/>
  <c r="Q97" i="10"/>
  <c r="R97" i="10" s="1"/>
  <c r="P72" i="9"/>
  <c r="Y96" i="10"/>
  <c r="W157" i="10"/>
  <c r="Q157" i="10"/>
  <c r="R157" i="10" s="1"/>
  <c r="P78" i="9"/>
  <c r="Y156" i="10"/>
  <c r="W77" i="10"/>
  <c r="Q77" i="10"/>
  <c r="R77" i="10" s="1"/>
  <c r="P70" i="9"/>
  <c r="Y76" i="10"/>
  <c r="W67" i="10"/>
  <c r="Q67" i="10"/>
  <c r="R67" i="10" s="1"/>
  <c r="P69" i="9"/>
  <c r="Y66" i="10"/>
  <c r="W97" i="8"/>
  <c r="Q97" i="8"/>
  <c r="R97" i="8" s="1"/>
  <c r="P70" i="6"/>
  <c r="Y96" i="8"/>
  <c r="P82" i="6"/>
  <c r="Y216" i="8"/>
  <c r="W217" i="8"/>
  <c r="Q217" i="8"/>
  <c r="R217" i="8" s="1"/>
  <c r="P74" i="6"/>
  <c r="Y136" i="8"/>
  <c r="W137" i="8"/>
  <c r="Q137" i="8"/>
  <c r="R137" i="8" s="1"/>
  <c r="W67" i="8"/>
  <c r="Q67" i="8"/>
  <c r="R67" i="8" s="1"/>
  <c r="P67" i="6"/>
  <c r="Y66" i="8"/>
  <c r="W117" i="8"/>
  <c r="Q117" i="8"/>
  <c r="R117" i="8" s="1"/>
  <c r="P72" i="6"/>
  <c r="Y116" i="8"/>
  <c r="W57" i="8"/>
  <c r="Q57" i="8"/>
  <c r="R57" i="8" s="1"/>
  <c r="P66" i="6"/>
  <c r="Y56" i="8"/>
  <c r="W167" i="8"/>
  <c r="Q167" i="8"/>
  <c r="R167" i="8" s="1"/>
  <c r="P77" i="6"/>
  <c r="Y166" i="8"/>
  <c r="Q87" i="8"/>
  <c r="R87" i="8" s="1"/>
  <c r="W87" i="8"/>
  <c r="P69" i="6"/>
  <c r="Y86" i="8"/>
  <c r="Q77" i="8"/>
  <c r="R77" i="8" s="1"/>
  <c r="W77" i="8"/>
  <c r="W107" i="8"/>
  <c r="Q107" i="8"/>
  <c r="R107" i="8" s="1"/>
  <c r="P71" i="6"/>
  <c r="Y106" i="8"/>
  <c r="W207" i="8"/>
  <c r="Q207" i="8"/>
  <c r="R207" i="8" s="1"/>
  <c r="W227" i="8"/>
  <c r="Q227" i="8"/>
  <c r="R227" i="8" s="1"/>
  <c r="P83" i="6"/>
  <c r="Y226" i="8"/>
  <c r="P75" i="6"/>
  <c r="Y146" i="8"/>
  <c r="W147" i="8"/>
  <c r="Q147" i="8"/>
  <c r="R147" i="8" s="1"/>
  <c r="P78" i="6"/>
  <c r="Y176" i="8"/>
  <c r="W177" i="8"/>
  <c r="Q177" i="8"/>
  <c r="R177" i="8" s="1"/>
  <c r="Q187" i="8"/>
  <c r="R187" i="8" s="1"/>
  <c r="W187" i="8"/>
  <c r="P79" i="6"/>
  <c r="Y186" i="8"/>
  <c r="P73" i="6"/>
  <c r="Y126" i="8"/>
  <c r="Q127" i="8"/>
  <c r="R127" i="8" s="1"/>
  <c r="W127" i="8"/>
  <c r="X166" i="10"/>
  <c r="X206" i="10"/>
  <c r="X76" i="8"/>
  <c r="X206" i="8"/>
  <c r="D26" i="9"/>
  <c r="D27" i="9" s="1"/>
  <c r="E25" i="9" s="1" a="1"/>
  <c r="D30" i="9"/>
  <c r="D25" i="6"/>
  <c r="E23" i="6" s="1" a="1"/>
  <c r="D24" i="5"/>
  <c r="E22" i="5" s="1" a="1"/>
  <c r="AM25" i="10"/>
  <c r="F19" i="9" s="1"/>
  <c r="F20" i="9" s="1"/>
  <c r="AD25" i="10"/>
  <c r="G18" i="9" s="1"/>
  <c r="AM25" i="8"/>
  <c r="F17" i="6" s="1"/>
  <c r="F18" i="6" s="1"/>
  <c r="AD25" i="8"/>
  <c r="G16" i="6" s="1"/>
  <c r="AD25" i="7"/>
  <c r="G15" i="5" s="1"/>
  <c r="AN25" i="7"/>
  <c r="G16" i="5" s="1"/>
  <c r="G17" i="5" s="1"/>
  <c r="J238" i="8" l="1" a="1"/>
  <c r="U237" i="8"/>
  <c r="V237" i="8" s="1"/>
  <c r="X237" i="8" s="1"/>
  <c r="J198" i="8" a="1"/>
  <c r="U197" i="8"/>
  <c r="V197" i="8" s="1"/>
  <c r="X197" i="8" s="1"/>
  <c r="U48" i="8"/>
  <c r="V48" i="8" s="1"/>
  <c r="X48" i="8" s="1"/>
  <c r="J49" i="8" a="1"/>
  <c r="J49" i="10" a="1"/>
  <c r="U48" i="10"/>
  <c r="V48" i="10" s="1"/>
  <c r="X48" i="10" s="1"/>
  <c r="U157" i="8"/>
  <c r="V157" i="8" s="1"/>
  <c r="X157" i="8" s="1"/>
  <c r="J158" i="8" a="1"/>
  <c r="J228" i="10" a="1"/>
  <c r="U227" i="10"/>
  <c r="V227" i="10" s="1"/>
  <c r="J238" i="10" a="1"/>
  <c r="U237" i="10"/>
  <c r="V237" i="10" s="1"/>
  <c r="J178" i="10" a="1"/>
  <c r="U177" i="10"/>
  <c r="V177" i="10" s="1"/>
  <c r="X177" i="10" s="1"/>
  <c r="J218" i="10" a="1"/>
  <c r="U217" i="10"/>
  <c r="V217" i="10" s="1"/>
  <c r="J168" i="10" a="1"/>
  <c r="U167" i="10"/>
  <c r="V167" i="10" s="1"/>
  <c r="J208" i="10" a="1"/>
  <c r="U207" i="10"/>
  <c r="V207" i="10" s="1"/>
  <c r="J128" i="10" a="1"/>
  <c r="U127" i="10"/>
  <c r="V127" i="10" s="1"/>
  <c r="X127" i="10" s="1"/>
  <c r="J148" i="10" a="1"/>
  <c r="U147" i="10"/>
  <c r="V147" i="10" s="1"/>
  <c r="X147" i="10" s="1"/>
  <c r="J58" i="10" a="1"/>
  <c r="U57" i="10"/>
  <c r="V57" i="10" s="1"/>
  <c r="J118" i="10" a="1"/>
  <c r="U117" i="10"/>
  <c r="V117" i="10" s="1"/>
  <c r="X117" i="10" s="1"/>
  <c r="J138" i="10" a="1"/>
  <c r="U137" i="10"/>
  <c r="V137" i="10" s="1"/>
  <c r="J198" i="10" a="1"/>
  <c r="U197" i="10"/>
  <c r="V197" i="10" s="1"/>
  <c r="J108" i="10" a="1"/>
  <c r="U107" i="10"/>
  <c r="V107" i="10" s="1"/>
  <c r="J188" i="10" a="1"/>
  <c r="U187" i="10"/>
  <c r="V187" i="10" s="1"/>
  <c r="X187" i="10" s="1"/>
  <c r="J88" i="10" a="1"/>
  <c r="U87" i="10"/>
  <c r="V87" i="10" s="1"/>
  <c r="J98" i="10" a="1"/>
  <c r="U97" i="10"/>
  <c r="V97" i="10" s="1"/>
  <c r="J158" i="10" a="1"/>
  <c r="U157" i="10"/>
  <c r="V157" i="10" s="1"/>
  <c r="X157" i="10" s="1"/>
  <c r="J78" i="10" a="1"/>
  <c r="U77" i="10"/>
  <c r="V77" i="10" s="1"/>
  <c r="J68" i="10" a="1"/>
  <c r="U67" i="10"/>
  <c r="V67" i="10" s="1"/>
  <c r="X67" i="10" s="1"/>
  <c r="J98" i="8" a="1"/>
  <c r="U97" i="8"/>
  <c r="V97" i="8" s="1"/>
  <c r="X97" i="8" s="1"/>
  <c r="U217" i="8"/>
  <c r="V217" i="8" s="1"/>
  <c r="J218" i="8" a="1"/>
  <c r="U137" i="8"/>
  <c r="V137" i="8" s="1"/>
  <c r="J138" i="8" a="1"/>
  <c r="J68" i="8" a="1"/>
  <c r="U67" i="8"/>
  <c r="V67" i="8" s="1"/>
  <c r="X67" i="8" s="1"/>
  <c r="J118" i="8" a="1"/>
  <c r="U117" i="8"/>
  <c r="V117" i="8" s="1"/>
  <c r="X117" i="8" s="1"/>
  <c r="U57" i="8"/>
  <c r="V57" i="8" s="1"/>
  <c r="X57" i="8" s="1"/>
  <c r="J58" i="8" a="1"/>
  <c r="J168" i="8" a="1"/>
  <c r="U167" i="8"/>
  <c r="V167" i="8" s="1"/>
  <c r="J88" i="8" a="1"/>
  <c r="U87" i="8"/>
  <c r="V87" i="8" s="1"/>
  <c r="U77" i="8"/>
  <c r="V77" i="8" s="1"/>
  <c r="J78" i="8" a="1"/>
  <c r="J108" i="8" a="1"/>
  <c r="U107" i="8"/>
  <c r="V107" i="8" s="1"/>
  <c r="J208" i="8" a="1"/>
  <c r="U207" i="8"/>
  <c r="V207" i="8" s="1"/>
  <c r="J228" i="8" a="1"/>
  <c r="U227" i="8"/>
  <c r="V227" i="8" s="1"/>
  <c r="U147" i="8"/>
  <c r="V147" i="8" s="1"/>
  <c r="J148" i="8" a="1"/>
  <c r="U177" i="8"/>
  <c r="V177" i="8" s="1"/>
  <c r="X177" i="8" s="1"/>
  <c r="J178" i="8" a="1"/>
  <c r="U187" i="8"/>
  <c r="V187" i="8" s="1"/>
  <c r="X187" i="8" s="1"/>
  <c r="J188" i="8" a="1"/>
  <c r="J128" i="8" a="1"/>
  <c r="U127" i="8"/>
  <c r="V127" i="8" s="1"/>
  <c r="Y166" i="10"/>
  <c r="P79" i="9"/>
  <c r="Y206" i="10"/>
  <c r="P83" i="9"/>
  <c r="P68" i="6"/>
  <c r="Y76" i="8"/>
  <c r="Y206" i="8"/>
  <c r="P81" i="6"/>
  <c r="D28" i="9"/>
  <c r="D29" i="9" s="1"/>
  <c r="D31" i="9" s="1"/>
  <c r="D26" i="6"/>
  <c r="D27" i="6" s="1"/>
  <c r="D29" i="6" s="1"/>
  <c r="D25" i="5"/>
  <c r="D26" i="5" s="1"/>
  <c r="D28" i="5" s="1"/>
  <c r="AE25" i="10"/>
  <c r="H18" i="9" s="1"/>
  <c r="AN25" i="10"/>
  <c r="G19" i="9" s="1"/>
  <c r="G20" i="9" s="1"/>
  <c r="AN25" i="8"/>
  <c r="G17" i="6" s="1"/>
  <c r="G18" i="6" s="1"/>
  <c r="AE25" i="8"/>
  <c r="H16" i="6" s="1"/>
  <c r="AE25" i="7"/>
  <c r="H15" i="5" s="1"/>
  <c r="AO25" i="7"/>
  <c r="H16" i="5" s="1"/>
  <c r="H17" i="5" s="1"/>
  <c r="Y197" i="8" l="1"/>
  <c r="Q80" i="6"/>
  <c r="Q84" i="6"/>
  <c r="Y237" i="8"/>
  <c r="Q238" i="8"/>
  <c r="R238" i="8" s="1"/>
  <c r="W238" i="8"/>
  <c r="W198" i="8"/>
  <c r="Q198" i="8"/>
  <c r="R198" i="8" s="1"/>
  <c r="R65" i="6"/>
  <c r="Y48" i="8"/>
  <c r="W49" i="8"/>
  <c r="I65" i="6" s="1"/>
  <c r="Q49" i="8"/>
  <c r="R49" i="8" s="1"/>
  <c r="U49" i="8" s="1"/>
  <c r="V49" i="8" s="1"/>
  <c r="Q49" i="10"/>
  <c r="R49" i="10" s="1"/>
  <c r="U49" i="10" s="1"/>
  <c r="V49" i="10" s="1"/>
  <c r="W49" i="10"/>
  <c r="I67" i="9" s="1"/>
  <c r="R67" i="9"/>
  <c r="Y48" i="10"/>
  <c r="Q76" i="6"/>
  <c r="Y157" i="8"/>
  <c r="Q158" i="8"/>
  <c r="R158" i="8" s="1"/>
  <c r="W158" i="8"/>
  <c r="W228" i="10"/>
  <c r="Q228" i="10"/>
  <c r="R228" i="10" s="1"/>
  <c r="W238" i="10"/>
  <c r="Q238" i="10"/>
  <c r="R238" i="10" s="1"/>
  <c r="W178" i="10"/>
  <c r="Q178" i="10"/>
  <c r="R178" i="10" s="1"/>
  <c r="Q80" i="9"/>
  <c r="Y177" i="10"/>
  <c r="W218" i="10"/>
  <c r="Q218" i="10"/>
  <c r="R218" i="10" s="1"/>
  <c r="W168" i="10"/>
  <c r="Q168" i="10"/>
  <c r="R168" i="10" s="1"/>
  <c r="X167" i="10"/>
  <c r="W208" i="10"/>
  <c r="Q208" i="10"/>
  <c r="R208" i="10" s="1"/>
  <c r="X207" i="10"/>
  <c r="W128" i="10"/>
  <c r="Q128" i="10"/>
  <c r="R128" i="10" s="1"/>
  <c r="Q75" i="9"/>
  <c r="Y127" i="10"/>
  <c r="W148" i="10"/>
  <c r="Q148" i="10"/>
  <c r="R148" i="10" s="1"/>
  <c r="Q77" i="9"/>
  <c r="Y147" i="10"/>
  <c r="W58" i="10"/>
  <c r="Q58" i="10"/>
  <c r="R58" i="10" s="1"/>
  <c r="X57" i="10"/>
  <c r="Q118" i="10"/>
  <c r="R118" i="10" s="1"/>
  <c r="W118" i="10"/>
  <c r="Q74" i="9"/>
  <c r="Y117" i="10"/>
  <c r="W138" i="10"/>
  <c r="Q138" i="10"/>
  <c r="R138" i="10" s="1"/>
  <c r="W198" i="10"/>
  <c r="Q198" i="10"/>
  <c r="R198" i="10" s="1"/>
  <c r="W108" i="10"/>
  <c r="Q108" i="10"/>
  <c r="R108" i="10" s="1"/>
  <c r="W188" i="10"/>
  <c r="Q188" i="10"/>
  <c r="R188" i="10" s="1"/>
  <c r="Q81" i="9"/>
  <c r="Y187" i="10"/>
  <c r="W88" i="10"/>
  <c r="Q88" i="10"/>
  <c r="R88" i="10" s="1"/>
  <c r="W98" i="10"/>
  <c r="Q98" i="10"/>
  <c r="R98" i="10" s="1"/>
  <c r="W158" i="10"/>
  <c r="Q158" i="10"/>
  <c r="R158" i="10" s="1"/>
  <c r="Q78" i="9"/>
  <c r="Y157" i="10"/>
  <c r="W78" i="10"/>
  <c r="Q78" i="10"/>
  <c r="R78" i="10" s="1"/>
  <c r="X77" i="10"/>
  <c r="W68" i="10"/>
  <c r="Q68" i="10"/>
  <c r="R68" i="10" s="1"/>
  <c r="Q69" i="9"/>
  <c r="Y67" i="10"/>
  <c r="Q98" i="8"/>
  <c r="R98" i="8" s="1"/>
  <c r="W98" i="8"/>
  <c r="Q70" i="6"/>
  <c r="Y97" i="8"/>
  <c r="W218" i="8"/>
  <c r="Q218" i="8"/>
  <c r="R218" i="8" s="1"/>
  <c r="W138" i="8"/>
  <c r="Q138" i="8"/>
  <c r="R138" i="8" s="1"/>
  <c r="W68" i="8"/>
  <c r="Q68" i="8"/>
  <c r="R68" i="8" s="1"/>
  <c r="Q67" i="6"/>
  <c r="Y67" i="8"/>
  <c r="W118" i="8"/>
  <c r="Q118" i="8"/>
  <c r="R118" i="8" s="1"/>
  <c r="Q72" i="6"/>
  <c r="Y117" i="8"/>
  <c r="Q66" i="6"/>
  <c r="Y57" i="8"/>
  <c r="Q58" i="8"/>
  <c r="R58" i="8" s="1"/>
  <c r="W58" i="8"/>
  <c r="W168" i="8"/>
  <c r="Q168" i="8"/>
  <c r="R168" i="8" s="1"/>
  <c r="Q88" i="8"/>
  <c r="R88" i="8" s="1"/>
  <c r="W88" i="8"/>
  <c r="X77" i="8"/>
  <c r="Q78" i="8"/>
  <c r="R78" i="8" s="1"/>
  <c r="W78" i="8"/>
  <c r="W108" i="8"/>
  <c r="Q108" i="8"/>
  <c r="R108" i="8" s="1"/>
  <c r="X107" i="8"/>
  <c r="W208" i="8"/>
  <c r="Q208" i="8"/>
  <c r="R208" i="8" s="1"/>
  <c r="X207" i="8"/>
  <c r="W228" i="8"/>
  <c r="Q228" i="8"/>
  <c r="R228" i="8" s="1"/>
  <c r="W148" i="8"/>
  <c r="Q148" i="8"/>
  <c r="R148" i="8" s="1"/>
  <c r="Q78" i="6"/>
  <c r="Y177" i="8"/>
  <c r="W178" i="8"/>
  <c r="Q178" i="8"/>
  <c r="R178" i="8" s="1"/>
  <c r="Q79" i="6"/>
  <c r="Y187" i="8"/>
  <c r="Q188" i="8"/>
  <c r="R188" i="8" s="1"/>
  <c r="W188" i="8"/>
  <c r="Q128" i="8"/>
  <c r="R128" i="8" s="1"/>
  <c r="W128" i="8"/>
  <c r="X227" i="10"/>
  <c r="X237" i="10"/>
  <c r="X217" i="10"/>
  <c r="X137" i="10"/>
  <c r="X197" i="10"/>
  <c r="X107" i="10"/>
  <c r="X87" i="10"/>
  <c r="X97" i="10"/>
  <c r="X217" i="8"/>
  <c r="X137" i="8"/>
  <c r="X167" i="8"/>
  <c r="X87" i="8"/>
  <c r="X227" i="8"/>
  <c r="X147" i="8"/>
  <c r="X127" i="8"/>
  <c r="E26" i="9"/>
  <c r="E30" i="9"/>
  <c r="E28" i="6"/>
  <c r="E24" i="6"/>
  <c r="E27" i="5"/>
  <c r="E23" i="5"/>
  <c r="AF25" i="10"/>
  <c r="I18" i="9" s="1"/>
  <c r="AO25" i="10"/>
  <c r="H19" i="9" s="1"/>
  <c r="H20" i="9" s="1"/>
  <c r="AO25" i="8"/>
  <c r="H17" i="6" s="1"/>
  <c r="H18" i="6" s="1"/>
  <c r="AF25" i="8"/>
  <c r="I16" i="6" s="1"/>
  <c r="AF25" i="7"/>
  <c r="I15" i="5" s="1"/>
  <c r="AP25" i="7"/>
  <c r="I16" i="5" s="1"/>
  <c r="I17" i="5" s="1"/>
  <c r="J239" i="8" l="1" a="1"/>
  <c r="U238" i="8"/>
  <c r="V238" i="8" s="1"/>
  <c r="X238" i="8" s="1"/>
  <c r="J199" i="8" a="1"/>
  <c r="U198" i="8"/>
  <c r="V198" i="8" s="1"/>
  <c r="X198" i="8" s="1"/>
  <c r="H65" i="6"/>
  <c r="X49" i="8"/>
  <c r="H67" i="9"/>
  <c r="X49" i="10"/>
  <c r="J159" i="8" a="1"/>
  <c r="U158" i="8"/>
  <c r="V158" i="8" s="1"/>
  <c r="J229" i="10" a="1"/>
  <c r="U228" i="10"/>
  <c r="V228" i="10" s="1"/>
  <c r="J239" i="10" a="1"/>
  <c r="U238" i="10"/>
  <c r="V238" i="10" s="1"/>
  <c r="J179" i="10" a="1"/>
  <c r="U178" i="10"/>
  <c r="V178" i="10" s="1"/>
  <c r="J219" i="10" a="1"/>
  <c r="U218" i="10"/>
  <c r="V218" i="10" s="1"/>
  <c r="J169" i="10" a="1"/>
  <c r="U168" i="10"/>
  <c r="V168" i="10" s="1"/>
  <c r="Q79" i="9"/>
  <c r="Y167" i="10"/>
  <c r="J209" i="10" a="1"/>
  <c r="U208" i="10"/>
  <c r="V208" i="10" s="1"/>
  <c r="Q83" i="9"/>
  <c r="Y207" i="10"/>
  <c r="J129" i="10" a="1"/>
  <c r="U128" i="10"/>
  <c r="V128" i="10" s="1"/>
  <c r="J149" i="10" a="1"/>
  <c r="U148" i="10"/>
  <c r="V148" i="10" s="1"/>
  <c r="J59" i="10" a="1"/>
  <c r="U58" i="10"/>
  <c r="V58" i="10" s="1"/>
  <c r="Q68" i="9"/>
  <c r="Y57" i="10"/>
  <c r="J119" i="10" a="1"/>
  <c r="U118" i="10"/>
  <c r="V118" i="10" s="1"/>
  <c r="U138" i="10"/>
  <c r="V138" i="10" s="1"/>
  <c r="J139" i="10" a="1"/>
  <c r="J199" i="10" a="1"/>
  <c r="U198" i="10"/>
  <c r="V198" i="10" s="1"/>
  <c r="J109" i="10" a="1"/>
  <c r="U108" i="10"/>
  <c r="V108" i="10" s="1"/>
  <c r="J189" i="10" a="1"/>
  <c r="U188" i="10"/>
  <c r="V188" i="10" s="1"/>
  <c r="J89" i="10" a="1"/>
  <c r="U88" i="10"/>
  <c r="V88" i="10" s="1"/>
  <c r="J99" i="10" a="1"/>
  <c r="U98" i="10"/>
  <c r="V98" i="10" s="1"/>
  <c r="J159" i="10" a="1"/>
  <c r="U158" i="10"/>
  <c r="V158" i="10" s="1"/>
  <c r="J79" i="10" a="1"/>
  <c r="U78" i="10"/>
  <c r="V78" i="10" s="1"/>
  <c r="Q70" i="9"/>
  <c r="Y77" i="10"/>
  <c r="J69" i="10" a="1"/>
  <c r="U68" i="10"/>
  <c r="V68" i="10" s="1"/>
  <c r="U98" i="8"/>
  <c r="V98" i="8" s="1"/>
  <c r="J99" i="8" a="1"/>
  <c r="J219" i="8" a="1"/>
  <c r="U218" i="8"/>
  <c r="V218" i="8" s="1"/>
  <c r="J139" i="8" a="1"/>
  <c r="U138" i="8"/>
  <c r="V138" i="8" s="1"/>
  <c r="J69" i="8" a="1"/>
  <c r="U68" i="8"/>
  <c r="V68" i="8" s="1"/>
  <c r="J119" i="8" a="1"/>
  <c r="U118" i="8"/>
  <c r="V118" i="8" s="1"/>
  <c r="U58" i="8"/>
  <c r="V58" i="8" s="1"/>
  <c r="J59" i="8" a="1"/>
  <c r="J169" i="8" a="1"/>
  <c r="U168" i="8"/>
  <c r="V168" i="8" s="1"/>
  <c r="U88" i="8"/>
  <c r="V88" i="8" s="1"/>
  <c r="J89" i="8" a="1"/>
  <c r="Q68" i="6"/>
  <c r="Y77" i="8"/>
  <c r="U78" i="8"/>
  <c r="V78" i="8" s="1"/>
  <c r="J79" i="8" a="1"/>
  <c r="J109" i="8" a="1"/>
  <c r="U108" i="8"/>
  <c r="V108" i="8" s="1"/>
  <c r="Q71" i="6"/>
  <c r="Y107" i="8"/>
  <c r="J209" i="8" a="1"/>
  <c r="U208" i="8"/>
  <c r="V208" i="8" s="1"/>
  <c r="Q81" i="6"/>
  <c r="Y207" i="8"/>
  <c r="J229" i="8" a="1"/>
  <c r="U228" i="8"/>
  <c r="V228" i="8" s="1"/>
  <c r="J149" i="8" a="1"/>
  <c r="U148" i="8"/>
  <c r="V148" i="8" s="1"/>
  <c r="J179" i="8" a="1"/>
  <c r="U178" i="8"/>
  <c r="V178" i="8" s="1"/>
  <c r="J189" i="8" a="1"/>
  <c r="U188" i="8"/>
  <c r="V188" i="8" s="1"/>
  <c r="U128" i="8"/>
  <c r="V128" i="8" s="1"/>
  <c r="J129" i="8" a="1"/>
  <c r="Y227" i="10"/>
  <c r="Q85" i="9"/>
  <c r="Y237" i="10"/>
  <c r="Q86" i="9"/>
  <c r="Y217" i="10"/>
  <c r="Q84" i="9"/>
  <c r="Y137" i="10"/>
  <c r="Q76" i="9"/>
  <c r="Y197" i="10"/>
  <c r="Q82" i="9"/>
  <c r="Y107" i="10"/>
  <c r="Q73" i="9"/>
  <c r="Y87" i="10"/>
  <c r="Q71" i="9"/>
  <c r="Y97" i="10"/>
  <c r="Q72" i="9"/>
  <c r="Y217" i="8"/>
  <c r="Q82" i="6"/>
  <c r="Y137" i="8"/>
  <c r="Q74" i="6"/>
  <c r="Y167" i="8"/>
  <c r="Q77" i="6"/>
  <c r="Y87" i="8"/>
  <c r="Q69" i="6"/>
  <c r="Y227" i="8"/>
  <c r="Q83" i="6"/>
  <c r="Y147" i="8"/>
  <c r="Q75" i="6"/>
  <c r="Y127" i="8"/>
  <c r="Q73" i="6"/>
  <c r="E27" i="9"/>
  <c r="F25" i="9" s="1" a="1"/>
  <c r="E25" i="6"/>
  <c r="F23" i="6" s="1" a="1"/>
  <c r="E24" i="5"/>
  <c r="F22" i="5" s="1" a="1"/>
  <c r="AP25" i="10"/>
  <c r="I19" i="9" s="1"/>
  <c r="I20" i="9" s="1"/>
  <c r="AG25" i="10"/>
  <c r="J18" i="9" s="1"/>
  <c r="AP25" i="8"/>
  <c r="I17" i="6" s="1"/>
  <c r="I18" i="6" s="1"/>
  <c r="AG25" i="8"/>
  <c r="J16" i="6" s="1"/>
  <c r="AG25" i="7"/>
  <c r="J15" i="5" s="1"/>
  <c r="AQ25" i="7"/>
  <c r="J16" i="5" s="1"/>
  <c r="J17" i="5" s="1"/>
  <c r="W199" i="8" l="1"/>
  <c r="I80" i="6" s="1"/>
  <c r="Q199" i="8"/>
  <c r="R199" i="8" s="1"/>
  <c r="U199" i="8" s="1"/>
  <c r="V199" i="8" s="1"/>
  <c r="W239" i="8"/>
  <c r="I84" i="6" s="1"/>
  <c r="Q239" i="8"/>
  <c r="R239" i="8" s="1"/>
  <c r="U239" i="8" s="1"/>
  <c r="V239" i="8" s="1"/>
  <c r="R84" i="6"/>
  <c r="Y238" i="8"/>
  <c r="S65" i="6"/>
  <c r="E65" i="6" s="1"/>
  <c r="F65" i="6" s="1"/>
  <c r="G65" i="6" s="1"/>
  <c r="Y49" i="8"/>
  <c r="S67" i="9"/>
  <c r="E67" i="9" s="1"/>
  <c r="F67" i="9" s="1"/>
  <c r="G67" i="9" s="1"/>
  <c r="Y49" i="10"/>
  <c r="Q159" i="8"/>
  <c r="R159" i="8" s="1"/>
  <c r="U159" i="8" s="1"/>
  <c r="V159" i="8" s="1"/>
  <c r="H76" i="6" s="1"/>
  <c r="W159" i="8"/>
  <c r="I76" i="6" s="1"/>
  <c r="X158" i="8"/>
  <c r="W229" i="10"/>
  <c r="I85" i="9" s="1"/>
  <c r="Q229" i="10"/>
  <c r="R229" i="10" s="1"/>
  <c r="U229" i="10" s="1"/>
  <c r="V229" i="10" s="1"/>
  <c r="X228" i="10"/>
  <c r="W239" i="10"/>
  <c r="I86" i="9" s="1"/>
  <c r="Q239" i="10"/>
  <c r="R239" i="10" s="1"/>
  <c r="U239" i="10" s="1"/>
  <c r="V239" i="10" s="1"/>
  <c r="X238" i="10"/>
  <c r="W179" i="10"/>
  <c r="I80" i="9" s="1"/>
  <c r="Q179" i="10"/>
  <c r="R179" i="10" s="1"/>
  <c r="U179" i="10" s="1"/>
  <c r="V179" i="10" s="1"/>
  <c r="X178" i="10"/>
  <c r="W219" i="10"/>
  <c r="I84" i="9" s="1"/>
  <c r="Q219" i="10"/>
  <c r="R219" i="10" s="1"/>
  <c r="U219" i="10" s="1"/>
  <c r="V219" i="10" s="1"/>
  <c r="H84" i="9" s="1"/>
  <c r="X218" i="10"/>
  <c r="W169" i="10"/>
  <c r="I79" i="9" s="1"/>
  <c r="Q169" i="10"/>
  <c r="R169" i="10" s="1"/>
  <c r="U169" i="10" s="1"/>
  <c r="V169" i="10" s="1"/>
  <c r="X168" i="10"/>
  <c r="W209" i="10"/>
  <c r="I83" i="9" s="1"/>
  <c r="Q209" i="10"/>
  <c r="R209" i="10" s="1"/>
  <c r="U209" i="10" s="1"/>
  <c r="V209" i="10" s="1"/>
  <c r="X208" i="10"/>
  <c r="W129" i="10"/>
  <c r="I75" i="9" s="1"/>
  <c r="Q129" i="10"/>
  <c r="R129" i="10" s="1"/>
  <c r="U129" i="10" s="1"/>
  <c r="V129" i="10" s="1"/>
  <c r="X128" i="10"/>
  <c r="W149" i="10"/>
  <c r="I77" i="9" s="1"/>
  <c r="Q149" i="10"/>
  <c r="R149" i="10" s="1"/>
  <c r="U149" i="10" s="1"/>
  <c r="V149" i="10" s="1"/>
  <c r="X148" i="10"/>
  <c r="W59" i="10"/>
  <c r="I68" i="9" s="1"/>
  <c r="Q59" i="10"/>
  <c r="R59" i="10" s="1"/>
  <c r="U59" i="10" s="1"/>
  <c r="V59" i="10" s="1"/>
  <c r="X58" i="10"/>
  <c r="W119" i="10"/>
  <c r="I74" i="9" s="1"/>
  <c r="Q119" i="10"/>
  <c r="R119" i="10" s="1"/>
  <c r="U119" i="10" s="1"/>
  <c r="V119" i="10" s="1"/>
  <c r="X118" i="10"/>
  <c r="X138" i="10"/>
  <c r="W139" i="10"/>
  <c r="I76" i="9" s="1"/>
  <c r="Q139" i="10"/>
  <c r="R139" i="10" s="1"/>
  <c r="U139" i="10" s="1"/>
  <c r="V139" i="10" s="1"/>
  <c r="W199" i="10"/>
  <c r="I82" i="9" s="1"/>
  <c r="Q199" i="10"/>
  <c r="R199" i="10" s="1"/>
  <c r="U199" i="10" s="1"/>
  <c r="V199" i="10" s="1"/>
  <c r="X198" i="10"/>
  <c r="W109" i="10"/>
  <c r="I73" i="9" s="1"/>
  <c r="Q109" i="10"/>
  <c r="R109" i="10" s="1"/>
  <c r="U109" i="10" s="1"/>
  <c r="V109" i="10" s="1"/>
  <c r="X108" i="10"/>
  <c r="W189" i="10"/>
  <c r="I81" i="9" s="1"/>
  <c r="Q189" i="10"/>
  <c r="R189" i="10" s="1"/>
  <c r="U189" i="10" s="1"/>
  <c r="V189" i="10" s="1"/>
  <c r="X188" i="10"/>
  <c r="W89" i="10"/>
  <c r="I71" i="9" s="1"/>
  <c r="Q89" i="10"/>
  <c r="R89" i="10" s="1"/>
  <c r="U89" i="10" s="1"/>
  <c r="V89" i="10" s="1"/>
  <c r="X88" i="10"/>
  <c r="W99" i="10"/>
  <c r="I72" i="9" s="1"/>
  <c r="Q99" i="10"/>
  <c r="R99" i="10" s="1"/>
  <c r="U99" i="10" s="1"/>
  <c r="V99" i="10" s="1"/>
  <c r="X98" i="10"/>
  <c r="W159" i="10"/>
  <c r="I78" i="9" s="1"/>
  <c r="Q159" i="10"/>
  <c r="R159" i="10" s="1"/>
  <c r="U159" i="10" s="1"/>
  <c r="V159" i="10" s="1"/>
  <c r="X158" i="10"/>
  <c r="W79" i="10"/>
  <c r="I70" i="9" s="1"/>
  <c r="Q79" i="10"/>
  <c r="R79" i="10" s="1"/>
  <c r="U79" i="10" s="1"/>
  <c r="V79" i="10" s="1"/>
  <c r="X78" i="10"/>
  <c r="W69" i="10"/>
  <c r="I69" i="9" s="1"/>
  <c r="Q69" i="10"/>
  <c r="R69" i="10" s="1"/>
  <c r="U69" i="10" s="1"/>
  <c r="V69" i="10" s="1"/>
  <c r="H69" i="9" s="1"/>
  <c r="X68" i="10"/>
  <c r="X98" i="8"/>
  <c r="W99" i="8"/>
  <c r="I70" i="6" s="1"/>
  <c r="Q99" i="8"/>
  <c r="R99" i="8" s="1"/>
  <c r="U99" i="8" s="1"/>
  <c r="V99" i="8" s="1"/>
  <c r="W219" i="8"/>
  <c r="I82" i="6" s="1"/>
  <c r="Q219" i="8"/>
  <c r="R219" i="8" s="1"/>
  <c r="U219" i="8" s="1"/>
  <c r="V219" i="8" s="1"/>
  <c r="X218" i="8"/>
  <c r="W139" i="8"/>
  <c r="I74" i="6" s="1"/>
  <c r="Q139" i="8"/>
  <c r="R139" i="8" s="1"/>
  <c r="U139" i="8" s="1"/>
  <c r="V139" i="8" s="1"/>
  <c r="X138" i="8"/>
  <c r="W69" i="8"/>
  <c r="I67" i="6" s="1"/>
  <c r="Q69" i="8"/>
  <c r="R69" i="8" s="1"/>
  <c r="U69" i="8" s="1"/>
  <c r="V69" i="8" s="1"/>
  <c r="H67" i="6" s="1"/>
  <c r="X68" i="8"/>
  <c r="W119" i="8"/>
  <c r="I72" i="6" s="1"/>
  <c r="Q119" i="8"/>
  <c r="R119" i="8" s="1"/>
  <c r="U119" i="8" s="1"/>
  <c r="V119" i="8" s="1"/>
  <c r="X118" i="8"/>
  <c r="X58" i="8"/>
  <c r="Q59" i="8"/>
  <c r="R59" i="8" s="1"/>
  <c r="U59" i="8" s="1"/>
  <c r="V59" i="8" s="1"/>
  <c r="H66" i="6" s="1"/>
  <c r="W59" i="8"/>
  <c r="I66" i="6" s="1"/>
  <c r="W169" i="8"/>
  <c r="I77" i="6" s="1"/>
  <c r="Q169" i="8"/>
  <c r="R169" i="8" s="1"/>
  <c r="U169" i="8" s="1"/>
  <c r="V169" i="8" s="1"/>
  <c r="X168" i="8"/>
  <c r="X88" i="8"/>
  <c r="Q89" i="8"/>
  <c r="R89" i="8" s="1"/>
  <c r="U89" i="8" s="1"/>
  <c r="V89" i="8" s="1"/>
  <c r="W89" i="8"/>
  <c r="I69" i="6" s="1"/>
  <c r="X78" i="8"/>
  <c r="Q79" i="8"/>
  <c r="R79" i="8" s="1"/>
  <c r="U79" i="8" s="1"/>
  <c r="V79" i="8" s="1"/>
  <c r="W79" i="8"/>
  <c r="I68" i="6" s="1"/>
  <c r="W109" i="8"/>
  <c r="I71" i="6" s="1"/>
  <c r="Q109" i="8"/>
  <c r="R109" i="8" s="1"/>
  <c r="U109" i="8" s="1"/>
  <c r="V109" i="8" s="1"/>
  <c r="X108" i="8"/>
  <c r="W209" i="8"/>
  <c r="I81" i="6" s="1"/>
  <c r="Q209" i="8"/>
  <c r="R209" i="8" s="1"/>
  <c r="U209" i="8" s="1"/>
  <c r="V209" i="8" s="1"/>
  <c r="X208" i="8"/>
  <c r="W229" i="8"/>
  <c r="I83" i="6" s="1"/>
  <c r="Q229" i="8"/>
  <c r="R229" i="8" s="1"/>
  <c r="U229" i="8" s="1"/>
  <c r="V229" i="8" s="1"/>
  <c r="X228" i="8"/>
  <c r="W149" i="8"/>
  <c r="I75" i="6" s="1"/>
  <c r="Q149" i="8"/>
  <c r="R149" i="8" s="1"/>
  <c r="U149" i="8" s="1"/>
  <c r="V149" i="8" s="1"/>
  <c r="X148" i="8"/>
  <c r="W179" i="8"/>
  <c r="I78" i="6" s="1"/>
  <c r="Q179" i="8"/>
  <c r="R179" i="8" s="1"/>
  <c r="U179" i="8" s="1"/>
  <c r="V179" i="8" s="1"/>
  <c r="X178" i="8"/>
  <c r="Q189" i="8"/>
  <c r="R189" i="8" s="1"/>
  <c r="U189" i="8" s="1"/>
  <c r="V189" i="8" s="1"/>
  <c r="H79" i="6" s="1"/>
  <c r="W189" i="8"/>
  <c r="I79" i="6" s="1"/>
  <c r="X188" i="8"/>
  <c r="X128" i="8"/>
  <c r="Q129" i="8"/>
  <c r="R129" i="8" s="1"/>
  <c r="U129" i="8" s="1"/>
  <c r="V129" i="8" s="1"/>
  <c r="W129" i="8"/>
  <c r="I73" i="6" s="1"/>
  <c r="R80" i="6"/>
  <c r="Y198" i="8"/>
  <c r="E28" i="9"/>
  <c r="E29" i="9" s="1"/>
  <c r="E31" i="9" s="1"/>
  <c r="E26" i="6"/>
  <c r="E27" i="6" s="1"/>
  <c r="E29" i="6" s="1"/>
  <c r="E25" i="5"/>
  <c r="E26" i="5" s="1"/>
  <c r="E28" i="5" s="1"/>
  <c r="AH25" i="10"/>
  <c r="K18" i="9" s="1"/>
  <c r="AQ25" i="10"/>
  <c r="J19" i="9" s="1"/>
  <c r="J20" i="9" s="1"/>
  <c r="AQ25" i="8"/>
  <c r="J17" i="6" s="1"/>
  <c r="J18" i="6" s="1"/>
  <c r="AH25" i="8"/>
  <c r="K16" i="6" s="1"/>
  <c r="AR25" i="7"/>
  <c r="K16" i="5" s="1"/>
  <c r="K17" i="5" s="1"/>
  <c r="AH25" i="7"/>
  <c r="K15" i="5" s="1"/>
  <c r="X199" i="8" l="1"/>
  <c r="H80" i="6"/>
  <c r="H84" i="6"/>
  <c r="X239" i="8"/>
  <c r="X119" i="8"/>
  <c r="H72" i="6"/>
  <c r="X209" i="8"/>
  <c r="H81" i="6"/>
  <c r="X179" i="10"/>
  <c r="H80" i="9"/>
  <c r="X109" i="10"/>
  <c r="H73" i="9"/>
  <c r="X229" i="8"/>
  <c r="H83" i="6"/>
  <c r="X229" i="10"/>
  <c r="H85" i="9"/>
  <c r="X169" i="10"/>
  <c r="H79" i="9"/>
  <c r="X209" i="10"/>
  <c r="H83" i="9"/>
  <c r="X129" i="10"/>
  <c r="H75" i="9"/>
  <c r="X149" i="10"/>
  <c r="H77" i="9"/>
  <c r="X59" i="10"/>
  <c r="H68" i="9"/>
  <c r="X159" i="10"/>
  <c r="H78" i="9"/>
  <c r="X79" i="10"/>
  <c r="H70" i="9"/>
  <c r="R76" i="6"/>
  <c r="Y158" i="8"/>
  <c r="X159" i="8"/>
  <c r="X69" i="10"/>
  <c r="X189" i="8"/>
  <c r="X239" i="10"/>
  <c r="H86" i="9"/>
  <c r="X199" i="10"/>
  <c r="H82" i="9"/>
  <c r="X219" i="8"/>
  <c r="H82" i="6"/>
  <c r="X169" i="8"/>
  <c r="H77" i="6"/>
  <c r="X149" i="8"/>
  <c r="H75" i="6"/>
  <c r="R85" i="9"/>
  <c r="Y228" i="10"/>
  <c r="R86" i="9"/>
  <c r="Y238" i="10"/>
  <c r="R80" i="9"/>
  <c r="Y178" i="10"/>
  <c r="R84" i="9"/>
  <c r="Y218" i="10"/>
  <c r="R79" i="9"/>
  <c r="Y168" i="10"/>
  <c r="R83" i="9"/>
  <c r="Y208" i="10"/>
  <c r="R75" i="9"/>
  <c r="Y128" i="10"/>
  <c r="R77" i="9"/>
  <c r="Y148" i="10"/>
  <c r="R68" i="9"/>
  <c r="Y58" i="10"/>
  <c r="R74" i="9"/>
  <c r="Y118" i="10"/>
  <c r="R76" i="9"/>
  <c r="Y138" i="10"/>
  <c r="R82" i="9"/>
  <c r="Y198" i="10"/>
  <c r="R73" i="9"/>
  <c r="Y108" i="10"/>
  <c r="R81" i="9"/>
  <c r="Y188" i="10"/>
  <c r="R71" i="9"/>
  <c r="Y88" i="10"/>
  <c r="R72" i="9"/>
  <c r="Y98" i="10"/>
  <c r="R78" i="9"/>
  <c r="Y158" i="10"/>
  <c r="R70" i="9"/>
  <c r="Y78" i="10"/>
  <c r="R69" i="9"/>
  <c r="Y68" i="10"/>
  <c r="R70" i="6"/>
  <c r="Y98" i="8"/>
  <c r="R82" i="6"/>
  <c r="Y218" i="8"/>
  <c r="R74" i="6"/>
  <c r="Y138" i="8"/>
  <c r="R67" i="6"/>
  <c r="Y68" i="8"/>
  <c r="R72" i="6"/>
  <c r="Y118" i="8"/>
  <c r="R66" i="6"/>
  <c r="Y58" i="8"/>
  <c r="R77" i="6"/>
  <c r="Y168" i="8"/>
  <c r="R69" i="6"/>
  <c r="Y88" i="8"/>
  <c r="R68" i="6"/>
  <c r="Y78" i="8"/>
  <c r="R71" i="6"/>
  <c r="Y108" i="8"/>
  <c r="R81" i="6"/>
  <c r="Y208" i="8"/>
  <c r="R83" i="6"/>
  <c r="Y228" i="8"/>
  <c r="R75" i="6"/>
  <c r="Y148" i="8"/>
  <c r="R78" i="6"/>
  <c r="Y178" i="8"/>
  <c r="R79" i="6"/>
  <c r="Y188" i="8"/>
  <c r="R73" i="6"/>
  <c r="Y128" i="8"/>
  <c r="X219" i="10"/>
  <c r="X69" i="8"/>
  <c r="X59" i="8"/>
  <c r="X119" i="10"/>
  <c r="H74" i="9"/>
  <c r="X139" i="10"/>
  <c r="H76" i="9"/>
  <c r="X189" i="10"/>
  <c r="H81" i="9"/>
  <c r="X89" i="10"/>
  <c r="H71" i="9"/>
  <c r="X99" i="10"/>
  <c r="H72" i="9"/>
  <c r="X99" i="8"/>
  <c r="H70" i="6"/>
  <c r="X139" i="8"/>
  <c r="H74" i="6"/>
  <c r="X89" i="8"/>
  <c r="H69" i="6"/>
  <c r="X79" i="8"/>
  <c r="H68" i="6"/>
  <c r="X109" i="8"/>
  <c r="H71" i="6"/>
  <c r="X179" i="8"/>
  <c r="H78" i="6"/>
  <c r="X129" i="8"/>
  <c r="H73" i="6"/>
  <c r="F26" i="9"/>
  <c r="F30" i="9"/>
  <c r="F24" i="6"/>
  <c r="F28" i="6"/>
  <c r="F27" i="5"/>
  <c r="F23" i="5"/>
  <c r="AS25" i="10"/>
  <c r="L19" i="9" s="1"/>
  <c r="L20" i="9" s="1"/>
  <c r="AI25" i="10"/>
  <c r="L18" i="9" s="1"/>
  <c r="AR25" i="10"/>
  <c r="K19" i="9" s="1"/>
  <c r="K20" i="9" s="1"/>
  <c r="AR25" i="8"/>
  <c r="K17" i="6" s="1"/>
  <c r="K18" i="6" s="1"/>
  <c r="AI25" i="8"/>
  <c r="L16" i="6" s="1"/>
  <c r="AS25" i="8"/>
  <c r="L17" i="6" s="1"/>
  <c r="L18" i="6" s="1"/>
  <c r="AS25" i="7"/>
  <c r="L16" i="5" s="1"/>
  <c r="L17" i="5" s="1"/>
  <c r="AI25" i="7"/>
  <c r="L15" i="5" s="1"/>
  <c r="Y199" i="8" l="1"/>
  <c r="S80" i="6"/>
  <c r="E80" i="6" s="1"/>
  <c r="F80" i="6" s="1"/>
  <c r="G80" i="6" s="1"/>
  <c r="S84" i="6"/>
  <c r="E84" i="6" s="1"/>
  <c r="F84" i="6" s="1"/>
  <c r="G84" i="6" s="1"/>
  <c r="Y239" i="8"/>
  <c r="S72" i="6"/>
  <c r="E72" i="6" s="1"/>
  <c r="F72" i="6" s="1"/>
  <c r="G72" i="6" s="1"/>
  <c r="Y119" i="8"/>
  <c r="S81" i="6"/>
  <c r="E81" i="6" s="1"/>
  <c r="F81" i="6" s="1"/>
  <c r="G81" i="6" s="1"/>
  <c r="Y209" i="8"/>
  <c r="S73" i="9"/>
  <c r="E73" i="9" s="1"/>
  <c r="F73" i="9" s="1"/>
  <c r="G73" i="9" s="1"/>
  <c r="Y109" i="10"/>
  <c r="Y179" i="10"/>
  <c r="S80" i="9"/>
  <c r="E80" i="9" s="1"/>
  <c r="F80" i="9" s="1"/>
  <c r="G80" i="9" s="1"/>
  <c r="S70" i="9"/>
  <c r="E70" i="9" s="1"/>
  <c r="F70" i="9" s="1"/>
  <c r="G70" i="9" s="1"/>
  <c r="Y79" i="10"/>
  <c r="S83" i="6"/>
  <c r="E83" i="6" s="1"/>
  <c r="F83" i="6" s="1"/>
  <c r="G83" i="6" s="1"/>
  <c r="Y229" i="8"/>
  <c r="S77" i="6"/>
  <c r="E77" i="6" s="1"/>
  <c r="F77" i="6" s="1"/>
  <c r="G77" i="6" s="1"/>
  <c r="Y169" i="8"/>
  <c r="Y149" i="8"/>
  <c r="S75" i="6"/>
  <c r="E75" i="6" s="1"/>
  <c r="F75" i="6" s="1"/>
  <c r="G75" i="6" s="1"/>
  <c r="S79" i="9"/>
  <c r="E79" i="9" s="1"/>
  <c r="F79" i="9" s="1"/>
  <c r="G79" i="9" s="1"/>
  <c r="Y169" i="10"/>
  <c r="S83" i="9"/>
  <c r="E83" i="9" s="1"/>
  <c r="F83" i="9" s="1"/>
  <c r="G83" i="9" s="1"/>
  <c r="Y209" i="10"/>
  <c r="S75" i="9"/>
  <c r="E75" i="9" s="1"/>
  <c r="F75" i="9" s="1"/>
  <c r="G75" i="9" s="1"/>
  <c r="Y129" i="10"/>
  <c r="S85" i="9"/>
  <c r="E85" i="9" s="1"/>
  <c r="F85" i="9" s="1"/>
  <c r="G85" i="9" s="1"/>
  <c r="Y229" i="10"/>
  <c r="S77" i="9"/>
  <c r="E77" i="9" s="1"/>
  <c r="F77" i="9" s="1"/>
  <c r="G77" i="9" s="1"/>
  <c r="Y149" i="10"/>
  <c r="S86" i="9"/>
  <c r="E86" i="9" s="1"/>
  <c r="F86" i="9" s="1"/>
  <c r="G86" i="9" s="1"/>
  <c r="Y239" i="10"/>
  <c r="S68" i="9"/>
  <c r="E68" i="9" s="1"/>
  <c r="F68" i="9" s="1"/>
  <c r="G68" i="9" s="1"/>
  <c r="Y59" i="10"/>
  <c r="S78" i="9"/>
  <c r="E78" i="9" s="1"/>
  <c r="F78" i="9" s="1"/>
  <c r="G78" i="9" s="1"/>
  <c r="Y159" i="10"/>
  <c r="S82" i="9"/>
  <c r="E82" i="9" s="1"/>
  <c r="F82" i="9" s="1"/>
  <c r="G82" i="9" s="1"/>
  <c r="Y199" i="10"/>
  <c r="S82" i="6"/>
  <c r="E82" i="6" s="1"/>
  <c r="F82" i="6" s="1"/>
  <c r="G82" i="6" s="1"/>
  <c r="Y219" i="8"/>
  <c r="Y159" i="8"/>
  <c r="S76" i="6"/>
  <c r="E76" i="6" s="1"/>
  <c r="F76" i="6" s="1"/>
  <c r="G76" i="6" s="1"/>
  <c r="S69" i="9"/>
  <c r="E69" i="9" s="1"/>
  <c r="F69" i="9" s="1"/>
  <c r="G69" i="9" s="1"/>
  <c r="Y69" i="10"/>
  <c r="S79" i="6"/>
  <c r="E79" i="6" s="1"/>
  <c r="F79" i="6" s="1"/>
  <c r="G79" i="6" s="1"/>
  <c r="Y189" i="8"/>
  <c r="Y219" i="10"/>
  <c r="S84" i="9"/>
  <c r="E84" i="9" s="1"/>
  <c r="F84" i="9" s="1"/>
  <c r="G84" i="9" s="1"/>
  <c r="Y69" i="8"/>
  <c r="S67" i="6"/>
  <c r="E67" i="6" s="1"/>
  <c r="F67" i="6" s="1"/>
  <c r="G67" i="6" s="1"/>
  <c r="Y59" i="8"/>
  <c r="S66" i="6"/>
  <c r="E66" i="6" s="1"/>
  <c r="F66" i="6" s="1"/>
  <c r="G66" i="6" s="1"/>
  <c r="Y119" i="10"/>
  <c r="S74" i="9"/>
  <c r="E74" i="9" s="1"/>
  <c r="F74" i="9" s="1"/>
  <c r="G74" i="9" s="1"/>
  <c r="Y139" i="10"/>
  <c r="S76" i="9"/>
  <c r="E76" i="9" s="1"/>
  <c r="F76" i="9" s="1"/>
  <c r="G76" i="9" s="1"/>
  <c r="Y189" i="10"/>
  <c r="S81" i="9"/>
  <c r="E81" i="9" s="1"/>
  <c r="F81" i="9" s="1"/>
  <c r="G81" i="9" s="1"/>
  <c r="Y89" i="10"/>
  <c r="S71" i="9"/>
  <c r="E71" i="9" s="1"/>
  <c r="F71" i="9" s="1"/>
  <c r="G71" i="9" s="1"/>
  <c r="Y99" i="10"/>
  <c r="S72" i="9"/>
  <c r="E72" i="9" s="1"/>
  <c r="F72" i="9" s="1"/>
  <c r="G72" i="9" s="1"/>
  <c r="Y99" i="8"/>
  <c r="S70" i="6"/>
  <c r="E70" i="6" s="1"/>
  <c r="F70" i="6" s="1"/>
  <c r="G70" i="6" s="1"/>
  <c r="Y139" i="8"/>
  <c r="S74" i="6"/>
  <c r="E74" i="6" s="1"/>
  <c r="F74" i="6" s="1"/>
  <c r="G74" i="6" s="1"/>
  <c r="Y89" i="8"/>
  <c r="S69" i="6"/>
  <c r="E69" i="6" s="1"/>
  <c r="F69" i="6" s="1"/>
  <c r="G69" i="6" s="1"/>
  <c r="Y79" i="8"/>
  <c r="S68" i="6"/>
  <c r="E68" i="6" s="1"/>
  <c r="F68" i="6" s="1"/>
  <c r="G68" i="6" s="1"/>
  <c r="Y109" i="8"/>
  <c r="S71" i="6"/>
  <c r="E71" i="6" s="1"/>
  <c r="F71" i="6" s="1"/>
  <c r="G71" i="6" s="1"/>
  <c r="Y179" i="8"/>
  <c r="S78" i="6"/>
  <c r="E78" i="6" s="1"/>
  <c r="F78" i="6" s="1"/>
  <c r="G78" i="6" s="1"/>
  <c r="Y129" i="8"/>
  <c r="S73" i="6"/>
  <c r="E73" i="6" s="1"/>
  <c r="F73" i="6" s="1"/>
  <c r="G73" i="6" s="1"/>
  <c r="F27" i="9"/>
  <c r="G25" i="9" s="1" a="1"/>
  <c r="F25" i="6"/>
  <c r="G23" i="6" s="1" a="1"/>
  <c r="F24" i="5"/>
  <c r="G22" i="5" s="1" a="1"/>
  <c r="B88" i="9"/>
  <c r="F28" i="9" l="1"/>
  <c r="F29" i="9" s="1"/>
  <c r="F31" i="9" s="1"/>
  <c r="F26" i="6"/>
  <c r="F27" i="6" s="1"/>
  <c r="F29" i="6" s="1"/>
  <c r="F25" i="5"/>
  <c r="F26" i="5" s="1"/>
  <c r="F28" i="5" s="1"/>
  <c r="B89" i="9"/>
  <c r="F37" i="9" s="1"/>
  <c r="B90" i="9"/>
  <c r="F36" i="9" s="1"/>
  <c r="G26" i="9" l="1"/>
  <c r="G30" i="9"/>
  <c r="G24" i="6"/>
  <c r="G25" i="6" s="1"/>
  <c r="H23" i="6" s="1" a="1"/>
  <c r="G28" i="6"/>
  <c r="G23" i="5"/>
  <c r="G27" i="5"/>
  <c r="G27" i="9" l="1"/>
  <c r="H25" i="9" s="1" a="1"/>
  <c r="G26" i="6"/>
  <c r="G27" i="6" s="1"/>
  <c r="G29" i="6" s="1"/>
  <c r="G24" i="5"/>
  <c r="H22" i="5" s="1" a="1"/>
  <c r="G28" i="9" l="1"/>
  <c r="G29" i="9" s="1"/>
  <c r="G31" i="9" s="1"/>
  <c r="H24" i="6"/>
  <c r="H25" i="6" s="1"/>
  <c r="I23" i="6" s="1" a="1"/>
  <c r="H28" i="6"/>
  <c r="G25" i="5"/>
  <c r="G26" i="5" s="1"/>
  <c r="G28" i="5" s="1"/>
  <c r="H26" i="9" l="1"/>
  <c r="H27" i="9" s="1"/>
  <c r="I25" i="9" s="1" a="1"/>
  <c r="H30" i="9"/>
  <c r="H26" i="6"/>
  <c r="H27" i="6" s="1"/>
  <c r="H29" i="6" s="1"/>
  <c r="H27" i="5"/>
  <c r="H23" i="5"/>
  <c r="H24" i="5" s="1"/>
  <c r="I22" i="5" s="1" a="1"/>
  <c r="H28" i="9" l="1"/>
  <c r="H29" i="9" s="1"/>
  <c r="H31" i="9" s="1"/>
  <c r="I24" i="6"/>
  <c r="I25" i="6" s="1"/>
  <c r="J23" i="6" s="1" a="1"/>
  <c r="I28" i="6"/>
  <c r="H25" i="5"/>
  <c r="H26" i="5" s="1"/>
  <c r="H28" i="5" s="1"/>
  <c r="I26" i="9" l="1"/>
  <c r="I27" i="9" s="1"/>
  <c r="J25" i="9" s="1" a="1"/>
  <c r="I30" i="9"/>
  <c r="I26" i="6"/>
  <c r="I27" i="6" s="1"/>
  <c r="I29" i="6" s="1"/>
  <c r="I23" i="5"/>
  <c r="I24" i="5" s="1"/>
  <c r="J22" i="5" s="1" a="1"/>
  <c r="I27" i="5"/>
  <c r="I28" i="9" l="1"/>
  <c r="I29" i="9" s="1"/>
  <c r="I31" i="9" s="1"/>
  <c r="J28" i="6"/>
  <c r="J24" i="6"/>
  <c r="J25" i="6" s="1"/>
  <c r="K23" i="6" s="1" a="1"/>
  <c r="I25" i="5"/>
  <c r="I26" i="5" s="1"/>
  <c r="I28" i="5" s="1"/>
  <c r="J26" i="9" l="1"/>
  <c r="J27" i="9" s="1"/>
  <c r="K25" i="9" s="1" a="1"/>
  <c r="J30" i="9"/>
  <c r="J26" i="6"/>
  <c r="J27" i="6" s="1"/>
  <c r="J29" i="6" s="1"/>
  <c r="J23" i="5"/>
  <c r="J24" i="5" s="1"/>
  <c r="K22" i="5" s="1" a="1"/>
  <c r="J27" i="5"/>
  <c r="J28" i="9" l="1"/>
  <c r="J29" i="9" s="1"/>
  <c r="J31" i="9" s="1"/>
  <c r="K24" i="6"/>
  <c r="K25" i="6" s="1"/>
  <c r="L23" i="6" s="1" a="1"/>
  <c r="K28" i="6"/>
  <c r="J25" i="5"/>
  <c r="J26" i="5" s="1"/>
  <c r="J28" i="5" s="1"/>
  <c r="K30" i="9" l="1"/>
  <c r="K26" i="9"/>
  <c r="K27" i="9" s="1"/>
  <c r="L25" i="9" s="1" a="1"/>
  <c r="K26" i="6"/>
  <c r="K27" i="6" s="1"/>
  <c r="K29" i="6" s="1"/>
  <c r="K23" i="5"/>
  <c r="K24" i="5" s="1"/>
  <c r="L22" i="5" s="1" a="1"/>
  <c r="K27" i="5"/>
  <c r="K28" i="9" l="1"/>
  <c r="K29" i="9" s="1"/>
  <c r="K31" i="9" s="1"/>
  <c r="L24" i="6"/>
  <c r="L25" i="6" s="1"/>
  <c r="L26" i="6" s="1"/>
  <c r="L27" i="6" s="1"/>
  <c r="L28" i="6"/>
  <c r="K25" i="5"/>
  <c r="K26" i="5" s="1"/>
  <c r="K28" i="5" s="1"/>
  <c r="L29" i="6" l="1"/>
  <c r="B89" i="6" s="1" a="1"/>
  <c r="F36" i="6" s="1"/>
  <c r="L30" i="9"/>
  <c r="L26" i="9"/>
  <c r="L27" i="9" s="1"/>
  <c r="L28" i="9" s="1"/>
  <c r="L29" i="9" s="1"/>
  <c r="L23" i="5"/>
  <c r="L24" i="5" s="1"/>
  <c r="L25" i="5" s="1"/>
  <c r="L26" i="5" s="1"/>
  <c r="L27" i="5"/>
  <c r="B86" i="6"/>
  <c r="L31" i="9" l="1"/>
  <c r="B91" i="9" s="1" a="1"/>
  <c r="F38" i="9" s="1"/>
  <c r="L28" i="5"/>
  <c r="B63" i="5" s="1" a="1"/>
  <c r="B88" i="6"/>
  <c r="F34" i="6" s="1"/>
  <c r="B87" i="6"/>
  <c r="F35"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Gintarė Klovienė</author>
  </authors>
  <commentList>
    <comment ref="B13" authorId="0" shapeId="0" xr:uid="{E3637B79-9C98-4540-A99E-318ABDCAE217}">
      <text>
        <r>
          <rPr>
            <sz val="9"/>
            <color indexed="81"/>
            <rFont val="Tahoma"/>
            <charset val="1"/>
          </rPr>
          <t xml:space="preserve">OPEX - įmonės veiklos sąnaudos be finansinių sąnaudų, pelno mokesčio, nusidėvėjimo ir amortizacijos sąnaudų.
Duomenys pateikiami iš "Metinis reguliuojamosios veiklos ataskaitų rinkinys (vandens sektorius)" 4 formos eilutės "OPEX (be apskaitos veiklos)".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<sst xmlns="http://schemas.openxmlformats.org/spreadsheetml/2006/main" count="784" uniqueCount="320">
  <si>
    <t>INVESTICIJŲ SĄRAŠAS – FINANSAVIMO ŠALTINIAI IR ĮVESTYS</t>
  </si>
  <si>
    <t>Eil. Nr.</t>
  </si>
  <si>
    <t>Investicijos pavadinimas</t>
  </si>
  <si>
    <t>Veiklos plano Nr.</t>
  </si>
  <si>
    <t>Investicijos priskyrimas pagal pirminę paskirtį</t>
  </si>
  <si>
    <t>Nuo (metai)</t>
  </si>
  <si>
    <t>Iki (metai)</t>
  </si>
  <si>
    <t>Nusidėvėjimo laikotarpis (m.)</t>
  </si>
  <si>
    <t>Investicijos suma (Eur)</t>
  </si>
  <si>
    <t>ES dotacija (Eur)</t>
  </si>
  <si>
    <t>Savivaldybės subsidija (Eur)</t>
  </si>
  <si>
    <t>Kita valstybės parama (Eur)</t>
  </si>
  <si>
    <t>Kitos lėšos (Eur)</t>
  </si>
  <si>
    <t>Bendrovės lėšos (Eur)</t>
  </si>
  <si>
    <t>Paskola (Eur)</t>
  </si>
  <si>
    <t>Paskolos palūkanos, proc.</t>
  </si>
  <si>
    <t>Paskolos grąžinimo terminas, m.</t>
  </si>
  <si>
    <t>Finansavimo kontrolė</t>
  </si>
  <si>
    <t>FINANSINĖS PRIELAIDOS – BAZĖ BE NAUJO INVESTICIJŲ PORTFELIO POVEIKIO</t>
  </si>
  <si>
    <t>Reikšmė</t>
  </si>
  <si>
    <t>Šaltinis / pastaba</t>
  </si>
  <si>
    <t>Investicijų grąžos norma (%)</t>
  </si>
  <si>
    <t>Rodiklis</t>
  </si>
  <si>
    <t>Net Debt / EBITDA</t>
  </si>
  <si>
    <t>DSCR</t>
  </si>
  <si>
    <t>Tvarumo būsena</t>
  </si>
  <si>
    <t>Paaiškinimas</t>
  </si>
  <si>
    <t>METINIS CAPEX – INVESTICIJŲ CAPEX PASKIRSTYMAS</t>
  </si>
  <si>
    <t>Režimas</t>
  </si>
  <si>
    <t>Automatinis</t>
  </si>
  <si>
    <t>Automatinis: investicijos suma paskirstoma lygiomis dalimis per Nuo–Iki metus. Rankinis: metinį CAPEX įveskite žemiau; pagrindinėje lentelėje naudojamas pasirinktas paskirstymas.</t>
  </si>
  <si>
    <t>CAPEX PAGAL INVESTICIJAS – NAUDOJAMAS PASKIRSTYMAS</t>
  </si>
  <si>
    <t>Investicija</t>
  </si>
  <si>
    <t>Nuo</t>
  </si>
  <si>
    <t>Iki</t>
  </si>
  <si>
    <t>Kontrolė</t>
  </si>
  <si>
    <t>BENDRA</t>
  </si>
  <si>
    <t>RANKINIS CAPEX ĮVEDIMAS – NAUDOJAMAS TIK PASIRINKUS „RANKINIS“</t>
  </si>
  <si>
    <t>Scenarijaus prielaida</t>
  </si>
  <si>
    <t>Investicijų dedamoji</t>
  </si>
  <si>
    <t>Šiame scenarijuje papildoma investicijų dedamoji lygi 0 %.</t>
  </si>
  <si>
    <t>Kriterijai</t>
  </si>
  <si>
    <t>Riba</t>
  </si>
  <si>
    <t>Pagrindas / paaiškinimas</t>
  </si>
  <si>
    <t>Pirmi neatitikties metai</t>
  </si>
  <si>
    <t>Pirmi metai, kurių tvarumo būsena = NEATITINKA.</t>
  </si>
  <si>
    <t>Modelio pastaba</t>
  </si>
  <si>
    <t>LŪŽIO ANALIZĖ – KUMULIACINIS INVESTICIJŲ PORTFELIS</t>
  </si>
  <si>
    <t>Investicijų portfelis</t>
  </si>
  <si>
    <t>Neatitikimo kriterijus</t>
  </si>
  <si>
    <t>Min. DSCR</t>
  </si>
  <si>
    <t>Cross-check</t>
  </si>
  <si>
    <t>Lūžio rezultatas</t>
  </si>
  <si>
    <t>Lūžio investicija</t>
  </si>
  <si>
    <t>Cross-check su pagrindiniu 0 % scenarijumi</t>
  </si>
  <si>
    <t>TECHNINIS SKAIČIAVIMAS – KAUPIAMOJO PORTFELIO CROSS-CHECK</t>
  </si>
  <si>
    <t>Pastaba: Lūžio analizė vertina kaupiamąjį investicijų portfelį pagal 2. „Investicijos“ eiliškumą. Pirmoji NEATITINKA eilutė yra lūžio investicija. Jei bazė jau neatitinka kriterijų, rodoma „BAZĖ JAU NEATITINKA“. Pilno portfelio eilutė (Nr. 20) turi sutapti su pagrindinio 0 % scenarijaus metinėmis tvarumo būsenomis.</t>
  </si>
  <si>
    <t>Portfelis</t>
  </si>
  <si>
    <t>CAPEX</t>
  </si>
  <si>
    <t>Planuotų paskolų įplaukos</t>
  </si>
  <si>
    <t>Palūkanos</t>
  </si>
  <si>
    <t>Planuotų paskolų skola metų pabaigoje</t>
  </si>
  <si>
    <t>Scenarijaus EBITDA</t>
  </si>
  <si>
    <t>INVESTICIJŲ DEDAMOSIOS SCENARIJUS – LŪŽIO ANALIZĖ</t>
  </si>
  <si>
    <t>Dedamosios surinkimo laikotarpis (m.)</t>
  </si>
  <si>
    <t>Rezultatas</t>
  </si>
  <si>
    <t>Bendra maksimali dedamoji (Eur)</t>
  </si>
  <si>
    <t>Bendras svertinis intensyvumas</t>
  </si>
  <si>
    <t>Bendra maksimali dedamoji / bendra investicijų suma.</t>
  </si>
  <si>
    <t>Maks. dedamosios intensyvumas</t>
  </si>
  <si>
    <t>30% / 40%</t>
  </si>
  <si>
    <t>Dedamosios surinkimo laikotarpis</t>
  </si>
  <si>
    <t>1 / 2 m.</t>
  </si>
  <si>
    <t>Modelio pasirinkimas; visoms investicijoms dedamoji skiriama vienu metu.</t>
  </si>
  <si>
    <t>INVESTICIJŲ DEDAMOSIOS APSKAIČIAVIMAS PAGAL INVESTICIJĄ</t>
  </si>
  <si>
    <t>Maks. intensyvumas</t>
  </si>
  <si>
    <t>Maks. dedamoji (Eur)</t>
  </si>
  <si>
    <t>Surinkimo laikotarpis (m.)</t>
  </si>
  <si>
    <t>Iš viso maksimali dedamoji</t>
  </si>
  <si>
    <t>TECHNINIAI LŪŽIO ANALIZĖS SKAIČIAVIMAI – KRYŽMINĖ PATIKRA</t>
  </si>
  <si>
    <t>Dedamosios intensyvumas</t>
  </si>
  <si>
    <t>Dedamoji (Eur)</t>
  </si>
  <si>
    <t>Metai</t>
  </si>
  <si>
    <t>0 % paskolų įplaukos</t>
  </si>
  <si>
    <t>Išorinis ne skolos finansavimas</t>
  </si>
  <si>
    <t>Dedamoji (iš viso)</t>
  </si>
  <si>
    <t>Dedamosios pajamos</t>
  </si>
  <si>
    <t>Paskolų mažinimas</t>
  </si>
  <si>
    <t>Paskolų įplaukos su dedamąja</t>
  </si>
  <si>
    <t>Skolos aptarnavimas</t>
  </si>
  <si>
    <t>Pagrindinės sumos grąžinimas</t>
  </si>
  <si>
    <t>Planuotų paskolų likutis</t>
  </si>
  <si>
    <t>Bazės pinigai</t>
  </si>
  <si>
    <t>Bazės skolos aptarnavimas</t>
  </si>
  <si>
    <t>Grynasis pinigų poveikis</t>
  </si>
  <si>
    <t>Net Debt</t>
  </si>
  <si>
    <t>1.</t>
  </si>
  <si>
    <t>2.</t>
  </si>
  <si>
    <t>3.</t>
  </si>
  <si>
    <t>4.</t>
  </si>
  <si>
    <t>5.</t>
  </si>
  <si>
    <t>6.</t>
  </si>
  <si>
    <t>7.</t>
  </si>
  <si>
    <t>8.</t>
  </si>
  <si>
    <t>9.</t>
  </si>
  <si>
    <t>10.</t>
  </si>
  <si>
    <t>11.</t>
  </si>
  <si>
    <t>12.</t>
  </si>
  <si>
    <t>13.</t>
  </si>
  <si>
    <t>14.</t>
  </si>
  <si>
    <t>15.</t>
  </si>
  <si>
    <t>16.</t>
  </si>
  <si>
    <t>17.</t>
  </si>
  <si>
    <t>18.</t>
  </si>
  <si>
    <t>19.</t>
  </si>
  <si>
    <t>20.</t>
  </si>
  <si>
    <t>Pasirinkti</t>
  </si>
  <si>
    <t>36.1</t>
  </si>
  <si>
    <t>36.3</t>
  </si>
  <si>
    <t>37.1</t>
  </si>
  <si>
    <t>37.3</t>
  </si>
  <si>
    <t>Kitos investicijos</t>
  </si>
  <si>
    <t>36.2 (tik teisės aktuose nustatytai plėtrai įgyvendinti)</t>
  </si>
  <si>
    <t>37.2 (tik teisės aktuose nustatytai plėtrai įgyvendinti)</t>
  </si>
  <si>
    <t>Bazė (0 investicijų)</t>
  </si>
  <si>
    <t>IŠ VISO</t>
  </si>
  <si>
    <t>–</t>
  </si>
  <si>
    <t>Pajamos (Eur)</t>
  </si>
  <si>
    <t>OPEX (Eur)</t>
  </si>
  <si>
    <t>Finansinė skola metų pabaigoje (Eur)</t>
  </si>
  <si>
    <t>Pinigai metų pabaigoje (Eur)</t>
  </si>
  <si>
    <t>Esamas metinis skolos aptarnavimas – palūkanos + pagrindinės sumos grąžinimas (Eur)</t>
  </si>
  <si>
    <t>Net Debt (Eur)</t>
  </si>
  <si>
    <t>Scenarijaus EBITDA (Eur)</t>
  </si>
  <si>
    <t>Bazė: finansinė skola metų pabaigoje (Eur)</t>
  </si>
  <si>
    <t>Planuotų paskolų įplaukos (Eur)</t>
  </si>
  <si>
    <t>Planuotų paskolų pagrindinės sumos grąžinimas (Eur)</t>
  </si>
  <si>
    <t>Planuotų paskolų palūkanos (Eur)</t>
  </si>
  <si>
    <t>Planuotų paskolų skola metų pabaigoje (Eur)</t>
  </si>
  <si>
    <t>Bazė: pinigai metų pabaigoje (Eur)</t>
  </si>
  <si>
    <t>Bazė: esamas metinis skolos aptarnavimas (Eur)</t>
  </si>
  <si>
    <t>Išorinis ne skolos finansavimas (Eur)</t>
  </si>
  <si>
    <t>CAPEX (Eur)</t>
  </si>
  <si>
    <t>Investicijų grynasis pinigų poveikis (Eur)</t>
  </si>
  <si>
    <t>Pagrindinis 0 % scenarijus vertina visą suplanuotą investicijų portfelį. Lūžio analizė šiame lape vertina kaupiamąjį portfelį pagal 2. „Investicijos“ eiliškumą (0–20 investicijų) ir nustato pirmą investiciją, po kurios bent vienais 2026–2035 m. nebetenkinamas bent vienas 11³.6 kriterijus. Pilno portfelio eilutė turi sutapti su pagrindinio 0 % scenarijaus metinėmis tvarumo būsenomis (cross-check).</t>
  </si>
  <si>
    <t>Taikoma 11 eilutės investicijų ekonominio poveikio skaičiavimui.</t>
  </si>
  <si>
    <t>0 % SCENARIJUS – SUPLANUOTOS INVESTICIJOS FINANSUOJAMOS BE INVESTICIJŲ DEDAMOSIOS</t>
  </si>
  <si>
    <t>INDIVIDUALŪS INVESTICINIŲ PASKOLŲ GRAFIKAI</t>
  </si>
  <si>
    <t>Paskolos išmokamos proporcingai metiniam CAPEX. Kiekviena išmokėta dalis grąžinama lygiomis pagrindinės sumos dalimis per investicijai nustatytą terminą, pradedant kitais metais; palūkanos skaičiuojamos nuo metų pradžios likučio.</t>
  </si>
  <si>
    <t>Palūkanų norma</t>
  </si>
  <si>
    <t>Terminas (m.)</t>
  </si>
  <si>
    <t>PASKOLOS IŠMOKĖJIMAS (Eur)</t>
  </si>
  <si>
    <t>PAGRINDINĖS SUMOS GRĄŽINIMAS (Eur)</t>
  </si>
  <si>
    <t>PALŪKANOS (Eur)</t>
  </si>
  <si>
    <t>SKOLOS LIKUTIS METŲ PABAIGOJE (Eur)</t>
  </si>
  <si>
    <t>Reguliacinių pajamų poveikis EBITDA</t>
  </si>
  <si>
    <t>BENDRAS METINIS CAPEX (Eur)</t>
  </si>
  <si>
    <t>Naujų paskolų ir finansavimo trūkumo aptarnavimas (Eur)</t>
  </si>
  <si>
    <t>Pinigų perteklius / (finansavimo trūkumas) metų pabaigoje (Eur)</t>
  </si>
  <si>
    <t>Scenarijaus finansinė skola prieš finansavimo trūkumą</t>
  </si>
  <si>
    <t>Pinigų perteklius / (finansavimo trūkumas)</t>
  </si>
  <si>
    <t>Scenarijaus finansinė skola prieš finansavimo trūkumą (Eur)</t>
  </si>
  <si>
    <t>Perimama iš 5. 0% scenarijaus; taikoma reguliacinėms investicijų grąžos pajamoms.</t>
  </si>
  <si>
    <t>Investicijų dedamosios pajamos (Eur)</t>
  </si>
  <si>
    <t>Scenarijaus EBITDA su dedamąja (Eur)</t>
  </si>
  <si>
    <t>Planuotų paskolų įplaukos su dedamąja (Eur)</t>
  </si>
  <si>
    <t>Pasirinkite 1 arba 2 metus. Visoms investicijoms dedamoji skiriama vienu metu; modelyje surinkimas pradedamas 2026 m.</t>
  </si>
  <si>
    <t>INDIVIDUALŪS PASKOLŲ GRAFIKAI SU PAPILDOMA INVESTICIJŲ DEDAMĄJA</t>
  </si>
  <si>
    <t>Maksimali papildoma dedamoji mažina kiekvienos investicijos paskolos poreikį. Likusi paskola grąžinama lygiomis pagrindinės sumos dalimis nuo kitų metų; taikomos individualios palūkanos ir terminai.</t>
  </si>
  <si>
    <t>Paskola po dedamosios (Eur)</t>
  </si>
  <si>
    <t>PASKOLOS IŠMOKĖJIMAS SU DEDAMĄJA (Eur)</t>
  </si>
  <si>
    <t>Cross-check su pagrindiniu dedamosios scenarijumi</t>
  </si>
  <si>
    <t>Pastaba: Lūžio analizė vertina kaupiamąjį investicijų portfelį pagal 2. „Investicijos“ eiliškumą. Pirmoji NEATITINKA eilutė yra lūžio investicija. Jei bazė jau neatitinka kriterijų, rodoma „BAZĖ JAU NEATITINKA“. Pilno portfelio eilutė (Nr. 20) turi sutapti su pagrindinio papildomos dedamosios scenarijaus metinėmis tvarumo būsenomis ir rodikliais.</t>
  </si>
  <si>
    <t>Suma pagal 11³.4 visoms įvestoms investicijoms.</t>
  </si>
  <si>
    <t>Pirmoji investicija, po kurios atsiranda NEATITINKA.</t>
  </si>
  <si>
    <t>Pirmi metai, kuriais lūžio portfelis neatitinka kriterijų.</t>
  </si>
  <si>
    <t>Pilno portfelio sutapimas su pagrindiniu dedamosios scenarijumi.</t>
  </si>
  <si>
    <t>DETALIOS FINANSINIŲ RODIKLIŲ ĮVESTYS</t>
  </si>
  <si>
    <t>Kitos veiklos pajamos (Eur)</t>
  </si>
  <si>
    <t>Pajamos iš esamų investicijų dedamosios (Eur)</t>
  </si>
  <si>
    <t>Pajamos iš viso (Eur)</t>
  </si>
  <si>
    <t>Ilgalaikio turto pardavimo pajamos (Eur)</t>
  </si>
  <si>
    <t>Pajamos turtu (Eur)</t>
  </si>
  <si>
    <t>Veiklos sąnaudos – OPEX (Eur)</t>
  </si>
  <si>
    <t>Net EBITDA (Eur)</t>
  </si>
  <si>
    <t>Banko ir kitų kreditorių paskolos (Eur)</t>
  </si>
  <si>
    <t>Turto nuomos / lizingo įsipareigojimai (Eur)</t>
  </si>
  <si>
    <t>Pinigų likutis metų pabaigoje (Eur)</t>
  </si>
  <si>
    <t>Paskolų pagrindinės sumos grąžinimas (Eur)</t>
  </si>
  <si>
    <t>Palūkanų mokėjimai (Eur)</t>
  </si>
  <si>
    <t>Skolos aptarnavimas iš viso (Eur)</t>
  </si>
  <si>
    <t>1.1.</t>
  </si>
  <si>
    <t>1.2.</t>
  </si>
  <si>
    <t>1.3.</t>
  </si>
  <si>
    <t>2.1.</t>
  </si>
  <si>
    <t>2.2.</t>
  </si>
  <si>
    <t>2.3.</t>
  </si>
  <si>
    <t>3.1.</t>
  </si>
  <si>
    <t>3.2.</t>
  </si>
  <si>
    <t>5.1.</t>
  </si>
  <si>
    <t>5.2.</t>
  </si>
  <si>
    <t/>
  </si>
  <si>
    <t>FINANSINIŲ RODIKLIŲ SUVESTINĖ</t>
  </si>
  <si>
    <t>RANKINIO INVESTICIJŲ DEDAMOSIOS INTENSYVUMO SCENARIJUS – LŪŽIO ANALIZĖ</t>
  </si>
  <si>
    <t>Dedamosios intensyvumas (%)</t>
  </si>
  <si>
    <t>Įveskite vienodą intensyvumą, taikomą visoms investicijoms.</t>
  </si>
  <si>
    <t>Rankinis intensyvumas</t>
  </si>
  <si>
    <t>Rankinis dedamosios intensyvumas</t>
  </si>
  <si>
    <t>Vienodas intensyvumas visoms investicijoms; modelio vartotojo prielaida.</t>
  </si>
  <si>
    <t>Bendra dedamoji pagal rankinį intensyvumą (Eur)</t>
  </si>
  <si>
    <t>Suma visoms investicijoms pagal B6 įvestą intensyvumą.</t>
  </si>
  <si>
    <t>Pastaba: 7 scenarijuje visoms investicijoms taikomas vienodas rankiniu būdu B6 langelyje įvestas papildomos dedamosios intensyvumas. Lūžio analizė vertina kaupiamąjį portfelį pagal 2. „Investicijos“ eiliškumą.</t>
  </si>
  <si>
    <t>INDIVIDUALŪS PASKOLŲ GRAFIKAI SU RANKINIU PAPILDOMOS DEDAMOSIOS INTENSYVUMU</t>
  </si>
  <si>
    <t>B6 įvestas vienodas intensyvumas mažina kiekvienos investicijos paskolos poreikį. Likusi paskola grąžinama lygiomis pagrindinės sumos dalimis nuo kitų metų.</t>
  </si>
  <si>
    <t>INVESTICIJŲ DEDAMOSIOS APSKAIČIAVIMAS PAGAL RANKINĮ INTENSYVUMĄ</t>
  </si>
  <si>
    <t>Iš viso dedamoji</t>
  </si>
  <si>
    <t>MODELIO PILDYMO IR NAUDOJIMO INSTRUKCIJA</t>
  </si>
  <si>
    <t>1. MODELIO PASKIRTIS</t>
  </si>
  <si>
    <t>2. PILDYMO SEKA</t>
  </si>
  <si>
    <t>Žingsnis</t>
  </si>
  <si>
    <t>Lapas</t>
  </si>
  <si>
    <t>Ką atlikti</t>
  </si>
  <si>
    <t>Kontrolė / rezultatas</t>
  </si>
  <si>
    <t>2. Investicijos</t>
  </si>
  <si>
    <t>3. Finansinės prielaidos</t>
  </si>
  <si>
    <t>Patikrinkite suvestinę ir bazinius rodiklius.</t>
  </si>
  <si>
    <t>4. Metinis CAPEX</t>
  </si>
  <si>
    <t>Naudojamo paskirstymo kontrolė turi būti OK.</t>
  </si>
  <si>
    <t>5. 0% scenarijus</t>
  </si>
  <si>
    <t>Peržiūrėkite rodiklius ir lūžio investiciją.</t>
  </si>
  <si>
    <t>6. Aprašo scenarijus</t>
  </si>
  <si>
    <t>Peržiūrėkite maksimalios dedamosios poveikį.</t>
  </si>
  <si>
    <t>7. Pasirinktinis scenarijus</t>
  </si>
  <si>
    <t>Keisdami intensyvumą stebėkite lūžio rezultatą.</t>
  </si>
  <si>
    <t>3. PRIVALOMOS ĮVESTYS PAGAL LAPUS</t>
  </si>
  <si>
    <t>Pildomos reikšmės</t>
  </si>
  <si>
    <t>Svarbu</t>
  </si>
  <si>
    <t>Šis scenarijus netaiko papildomos investicijų dedamosios.</t>
  </si>
  <si>
    <t>Intensyvumas: 30 %, kai normatyvas ≤35 m.; 40 %, kai &gt;35 m.</t>
  </si>
  <si>
    <t>Intensyvumas įvedamas procentais, nuo 0 % iki 100 %.</t>
  </si>
  <si>
    <t>4. ANALIZUOJAMI SCENARIJAI</t>
  </si>
  <si>
    <t>Scenarijus</t>
  </si>
  <si>
    <t>Logika</t>
  </si>
  <si>
    <t>Paskolos poreikis</t>
  </si>
  <si>
    <t>Paskirtis</t>
  </si>
  <si>
    <t>Papildoma dedamoji lygi 0 %.</t>
  </si>
  <si>
    <t>Investicijos finansuojamos įvestais šaltiniais ir paskolomis; finansavimo trūkumas didina skolos aptarnavimą.</t>
  </si>
  <si>
    <t>Taikomas maksimalus 30 % / 40 % intensyvumas pagal nusidėvėjimo normatyvą.</t>
  </si>
  <si>
    <t>Dedamoji mažina kiekvienos investicijos paskolos poreikį.</t>
  </si>
  <si>
    <t>Parodyti maksimalios pagal Aprašą dedamosios poveikį.</t>
  </si>
  <si>
    <t>Visoms investicijoms taikomas vienodas vartotojo pasirinktas intensyvumas.</t>
  </si>
  <si>
    <t>Paskolos poreikis mažinamas pagal įvestą procentą.</t>
  </si>
  <si>
    <t>Rasti praktiškai reikalingą dedamosios intensyvumą.</t>
  </si>
  <si>
    <t>5. PATEIKIAMI REZULTATAI</t>
  </si>
  <si>
    <t>Vertinimo taisyklė</t>
  </si>
  <si>
    <t>Metinė abiejų kriterijų patikra.</t>
  </si>
  <si>
    <t>ATITINKA tik tada, kai tenkinami abu kriterijai.</t>
  </si>
  <si>
    <t>Parodo, ar portfelyje atsiranda neatitiktis.</t>
  </si>
  <si>
    <t>Pirmoji NEATITINKA eilutė yra lūžio investicija.</t>
  </si>
  <si>
    <t>Pirmi metai, kuriais bent vienas kriterijus nebetenkinamas.</t>
  </si>
  <si>
    <t>Rodomi pagal kaupiamąjį portfelį.</t>
  </si>
  <si>
    <t>Lygina pilno portfelio pagrindinį ir techninį skaičiavimo kelius.</t>
  </si>
  <si>
    <t>Galutinis rezultatas turi būti OK.</t>
  </si>
  <si>
    <t>6. SVARBIOS MODELIAVIMO TAISYKLĖS</t>
  </si>
  <si>
    <t>• Investicijos pradedamos eksploatuoti kitų metų sausio 1 d. po „Iki“ metų.</t>
  </si>
  <si>
    <t>• Investicijų grąža skaičiuojama nuo bendrovės lėšų ir po dedamosios likusios paskolos vertės; dotacijos ir dedamoji į grąžos bazę neįtraukiamos.</t>
  </si>
  <si>
    <t>• Paskolos grąžinamos lygiomis pagrindinės sumos dalimis nuo kitų metų po kiekvienos išmokėtos dalies; palūkanos skaičiuojamos nuo metų pradžios likučio.</t>
  </si>
  <si>
    <t>• Pagalbiniai 5A, 6A ir 7A lapai skirti auditui ir formulėms; jų struktūros nekeiskite.</t>
  </si>
  <si>
    <t>7. ŽYMĖJIMAS</t>
  </si>
  <si>
    <t>Naudotojo įvestis</t>
  </si>
  <si>
    <t>Formulė arba išvestinis rodiklis</t>
  </si>
  <si>
    <t>Žalia</t>
  </si>
  <si>
    <t>Atitinka kriterijų / kontrolė OK</t>
  </si>
  <si>
    <t>Raudona</t>
  </si>
  <si>
    <t>Neatitinka kriterijaus / reikalinga korekcija</t>
  </si>
  <si>
    <t>Pagal Aprašo 11³.6 papunktį - neviršija 5,5.</t>
  </si>
  <si>
    <t>Pagal Aprašo 11³.6 papunktį ne mažesnis nei 1,2.</t>
  </si>
  <si>
    <t>Pagal Aprašo 11³.6 papunktį neviršija 5,5x.</t>
  </si>
  <si>
    <t>Pagal Aprašo 11³.6 papunktį ne mažesnis nei 1,2x.</t>
  </si>
  <si>
    <t>Pagal Aprašo 11³.4 papunktį – iki 30 %, kai nusidėvėjimas ≤ 35 m.; iki 40 %, kai &gt; 35 m.</t>
  </si>
  <si>
    <t>Finansinės bazės reikšmės įvedamos šviesiai turkio langeliuose pagal pateiktus metus ir rodiklius.</t>
  </si>
  <si>
    <t>Šviesi turkio</t>
  </si>
  <si>
    <t>Pilkai mėlyna</t>
  </si>
  <si>
    <t>Pirmoje lentelėje įvedamos finansinės prielaidos, nevertinant planuojamų atlikti investicijų įtakos.</t>
  </si>
  <si>
    <t>Užpildoma informacija apie planuojamas atlikti investicijas.</t>
  </si>
  <si>
    <r>
      <t xml:space="preserve">Visi finansiniai duomenys pateikiami </t>
    </r>
    <r>
      <rPr>
        <b/>
        <sz val="9"/>
        <color rgb="FF24364B"/>
        <rFont val="Trebuchet MS"/>
        <family val="2"/>
      </rPr>
      <t>Eur.</t>
    </r>
  </si>
  <si>
    <t>Patikrinti bendrovės pajėgumą be papildomos dedamosios.</t>
  </si>
  <si>
    <t>GVTNT / šilumos tiekimo paslaugų pardavimo pajamos (Eur)</t>
  </si>
  <si>
    <t>Pavadinimas; veiklos plano Nr.; paskirtis; Nuo–Iki; nusidėvėjimo laikotarpis; investicijos suma; finansavimo šaltiniai; paskolos norma ir terminas. Investicijos turi būti numatytos įmonės veiklos plane.</t>
  </si>
  <si>
    <t>Visų finansavimo šaltinių suma turi sutapti su investicijos verte, kitu atveju Q stulpelyje rodys NEATITINKA.</t>
  </si>
  <si>
    <t xml:space="preserve">Režimas (B2 langelis); Rankinio režimo atveju – reikia nurodyti kiekvienos investicijos metinį CAPEX. Automatinio režimo atveju (pasirinkus B2 langelyje Automatinis), duomenys perkleiami iš lapo  1.Investicijos. </t>
  </si>
  <si>
    <t>Rankinis paskirstymas turi sutapti su visa investicijos suma,  kitu atveju P stulpelyje rodys NEATITINKA.</t>
  </si>
  <si>
    <t>Investicijų grąžos norma (užpildomas tik C5 lengelis).</t>
  </si>
  <si>
    <t>Dedamosios surinkimo laikotarpis (C4 langelis): 1 arba 2 metai.</t>
  </si>
  <si>
    <t>Dedamosios surinkimo laikotarpis ir rankinis vienodas intensyvumas (C6 langelis).</t>
  </si>
  <si>
    <t>Šviesiai turkio įvesties langeliuose įveskite finansinę bazę. Mėlyni ir pilkai mėlyni langeliai apskaičiuojami automatiškai. Duomenys nurodomi iš "Metinis reguluojamosios veiklos ataskaitų rinkinys (vandens sektorius)" arba   "Metinis reguluojamosios veiklos ataskaitų rinkinys (šilumos sektorius)", "2-asis verslo apskaitos standartas "Balansas" 1 priedo duomenis ir pagal turimus finansinės apskaitos duomenis. Pirmieji metai nurodomi pagal paskutinius turimus duomenis, sekantys metai pildomi įvertinus prognozes arba infliacijos koeficientą.</t>
  </si>
  <si>
    <t xml:space="preserve">Pasirinkite Automatinį arba Rankinį režimą (B2 langelis). Automatiniu režimu CAPEX dalijamas lygiomis dalimis per bendrovės nurodytus Nuo–Iki metus (per kuriuos planuojama atlikti investiciją). Pasirinkus rankinį režimą, CAPEX bendrovės gali paskirstyti pamečiui priklausomai nuo planuojamų investicijų apimčių. </t>
  </si>
  <si>
    <t>Įveskite investicijų grąžos normą (užpildomas C5 langelis nurodant paskutiniame kainos skaičiavime nustatytą investicijų grąžos normą). Kitos reikšmės apskaičiuojamos automatiškai.</t>
  </si>
  <si>
    <t>Pasirinkite dedamosios surinkimo laikotarpį – 1 arba 2 metus (C4 langelis). Intensyvumas nustatomas automatiškai pagal nusidėvėjimo normatyvą.</t>
  </si>
  <si>
    <t>Įveskite dedamosios surinkimo laikotarpį ir vienodą dedamosios intensyvumą C6 langelyje.</t>
  </si>
  <si>
    <t>Modelis skirtas įvertinti, kaip planuojamas investicijų portfelis paveiks bendrovės Net Debt / EBITDA ir DSCR rodiklius bei ar bendrovė išlaikys VERT taikomas finansinio pajėgumo ribas.</t>
  </si>
  <si>
    <t>Lūžio analizė investicijas įtraukia kaupiamai pagal 2 lapo eiliškumą (2 lape investicijos turi būti surašomos prioriteto tvarka) ir nustato pirmą investiciją, po kurios bent vienais metais Net Debt / EBITDA viršija 5,5 arba DSCR nukrenta žemiau 1,2 (lapas - 5. 0% scenarijus).</t>
  </si>
  <si>
    <r>
      <t xml:space="preserve">Įveskite visas planuojamas investicijas, terminus, nusidėvėjimo normatyvus, investicijų sumas ir finansavimo šaltinius. Pateikiama informacija apie visas planuojamas įgyvendinti investicijas, nurodant jas prioriteto tvarka. Investicijos turi būti numatytos bendrovių veiklos planuose. </t>
    </r>
    <r>
      <rPr>
        <b/>
        <sz val="9"/>
        <color rgb="FF24364B"/>
        <rFont val="Trebuchet MS"/>
        <family val="2"/>
      </rPr>
      <t>SVARBU</t>
    </r>
    <r>
      <rPr>
        <sz val="9"/>
        <color rgb="FF24364B"/>
        <rFont val="Trebuchet MS"/>
        <family val="2"/>
      </rPr>
      <t>: Jei investicijų įgyvendinimui nėra galimybės gauti paskolą ar kitokį finasavimą, finasanvimo šaltinis nurodomas "Bendrovės lėšos".</t>
    </r>
  </si>
  <si>
    <r>
      <t xml:space="preserve">Mėlyni langeliai yra formulės; redaguoti </t>
    </r>
    <r>
      <rPr>
        <b/>
        <sz val="9"/>
        <color rgb="FF24364B"/>
        <rFont val="Trebuchet MS"/>
        <family val="2"/>
      </rPr>
      <t>NEGALIMA</t>
    </r>
    <r>
      <rPr>
        <sz val="9"/>
        <color rgb="FF24364B"/>
        <rFont val="Trebuchet MS"/>
        <family val="2"/>
      </rPr>
      <t>.</t>
    </r>
  </si>
  <si>
    <t>Bendra investicijos vertė (Eur)</t>
  </si>
  <si>
    <r>
      <t>Finansavimo kontrolė turi būti OK (OK kai H stulpelio vertė sutampa su I-N stulpelių suma, o paskolos atveju užpildyti O ir P stulpeliai).</t>
    </r>
    <r>
      <rPr>
        <b/>
        <sz val="9"/>
        <color rgb="FF24364B"/>
        <rFont val="Trebuchet MS"/>
        <family val="2"/>
      </rPr>
      <t>SVARBU</t>
    </r>
    <r>
      <rPr>
        <sz val="9"/>
        <color rgb="FF24364B"/>
        <rFont val="Trebuchet MS"/>
        <family val="2"/>
      </rPr>
      <t>: H stulpelyje nurodoma bendra investicijos vertė, o I-N stulpeliuose paskirtomi investicijos finansavimo šaltiniai.</t>
    </r>
  </si>
  <si>
    <t>%</t>
  </si>
  <si>
    <t>net EBITDA (Eur)</t>
  </si>
  <si>
    <t>Net Debt / net EBITDA</t>
  </si>
  <si>
    <t>Grynoji finansinė skola, padalyta iš scenarijaus net EBITDA.</t>
  </si>
  <si>
    <t>Scenarijaus net EBITDA, padalyta iš esamo ir naujo skolos aptarnavimo.</t>
  </si>
  <si>
    <t>• Reguliacinės nusidėvėjimo ir investicijų grąžos pajamos didina net EBITDA nuo eksploatacijos pradžios.</t>
  </si>
  <si>
    <t>Atitinka, kai neviršija 5,5.</t>
  </si>
  <si>
    <t>Atitinka, kai ne mažiau 1,2.</t>
  </si>
  <si>
    <t>Bazė: net EBITDA (Eur)</t>
  </si>
  <si>
    <t>Reguliacinių pajamų nusidėvėjimui poveikis net EBITDA (Eur)</t>
  </si>
  <si>
    <t>Reguliacinių pajamų investicijų grąžai poveikis net EBITDA (Eur)</t>
  </si>
  <si>
    <t>Scenarijaus net EBITDA su dedamąja (Eur)</t>
  </si>
  <si>
    <t>Maks. Net Debt / net EBITDA</t>
  </si>
  <si>
    <t>Maks. Net Debt /net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</si>
</sst>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0;[Red]\(#,##0.00\);\-"/>
    <numFmt numFmtId="166" formatCode="0.0\x"/>
    <numFmt numFmtId="167" formatCode="_-* #,##0_-;\-* #,##0_-;_-* &quot;-&quot;??_-;_-@_-"/>
    <numFmt numFmtId="168" formatCode="#,##0;[Red]\-#,##0;\-"/>
    <numFmt numFmtId="169" formatCode="#,##0.00;[Red]\-#,##0.00;\–"/>
  </numFmts>
  <fonts count="17">
    <font>
      <sz val="11"/>
      <name val="Carlito"/>
    </font>
    <font>
      <sz val="11"/>
      <name val="Carlito"/>
    </font>
    <font>
      <sz val="10"/>
      <name val="Aptos"/>
      <family val="2"/>
    </font>
    <font>
      <b/>
      <sz val="9"/>
      <color rgb="FFFFFFFF"/>
      <name val="Trebuchet MS"/>
      <family val="2"/>
    </font>
    <font>
      <b/>
      <sz val="9"/>
      <color rgb="FF24364B"/>
      <name val="Trebuchet MS"/>
      <family val="2"/>
    </font>
    <font>
      <sz val="9"/>
      <color rgb="FF24364B"/>
      <name val="Trebuchet MS"/>
      <family val="2"/>
    </font>
    <font>
      <b/>
      <sz val="15"/>
      <color rgb="FFFFFFFF"/>
      <name val="Trebuchet MS"/>
      <family val="2"/>
    </font>
    <font>
      <i/>
      <sz val="9"/>
      <color rgb="FF002D72"/>
      <name val="Trebuchet MS"/>
      <family val="2"/>
    </font>
    <font>
      <b/>
      <sz val="11"/>
      <color rgb="FFFFFFFF"/>
      <name val="Trebuchet MS"/>
      <family val="2"/>
    </font>
    <font>
      <b/>
      <sz val="9"/>
      <color rgb="FF002D72"/>
      <name val="Trebuchet MS"/>
      <family val="2"/>
    </font>
    <font>
      <sz val="9"/>
      <color rgb="FF002D72"/>
      <name val="Trebuchet MS"/>
      <family val="2"/>
    </font>
    <font>
      <b/>
      <sz val="8"/>
      <color rgb="FFFFFFFF"/>
      <name val="Trebuchet MS"/>
      <family val="2"/>
    </font>
    <font>
      <sz val="8"/>
      <color rgb="FF24364B"/>
      <name val="Trebuchet MS"/>
      <family val="2"/>
    </font>
    <font>
      <sz val="8"/>
      <color rgb="FF002D72"/>
      <name val="Trebuchet MS"/>
      <family val="2"/>
    </font>
    <font>
      <b/>
      <sz val="8"/>
      <color rgb="FF002D72"/>
      <name val="Trebuchet MS"/>
      <family val="2"/>
    </font>
    <font>
      <sz val="9"/>
      <color rgb="FF24364B"/>
      <name val="Trebuchet MS"/>
      <family val="2"/>
    </font>
    <font>
      <sz val="9"/>
      <color indexed="81"/>
      <name val="Tahoma"/>
      <charset val="1"/>
    </font>
  </fonts>
  <fills count="12">
    <fill>
      <patternFill patternType="none"/>
    </fill>
    <fill>
      <patternFill patternType="gray125"/>
    </fill>
    <fill>
      <patternFill patternType="solid">
        <fgColor rgb="FFE2E8F0"/>
        <bgColor indexed="64"/>
      </patternFill>
    </fill>
    <fill>
      <patternFill patternType="solid">
        <fgColor rgb="FFD9E2F3"/>
        <bgColor indexed="64"/>
      </patternFill>
    </fill>
    <fill>
      <patternFill patternType="solid">
        <fgColor rgb="FF002D72"/>
        <bgColor indexed="64"/>
      </patternFill>
    </fill>
    <fill>
      <patternFill patternType="solid">
        <fgColor rgb="FFD9F3EE"/>
        <bgColor indexed="64"/>
      </patternFill>
    </fill>
    <fill>
      <patternFill patternType="solid">
        <fgColor rgb="FF6BCABA"/>
        <bgColor indexed="64"/>
      </patternFill>
    </fill>
    <fill>
      <patternFill patternType="solid">
        <fgColor rgb="FFE5ECF5"/>
        <bgColor indexed="64"/>
      </patternFill>
    </fill>
    <fill>
      <patternFill patternType="solid">
        <fgColor rgb="FFDDEFEA"/>
        <bgColor indexed="64"/>
      </patternFill>
    </fill>
    <fill>
      <patternFill patternType="solid">
        <fgColor rgb="FFF6E3E8"/>
        <bgColor indexed="64"/>
      </patternFill>
    </fill>
    <fill>
      <patternFill patternType="solid">
        <fgColor rgb="FFF2F5F7"/>
        <bgColor indexed="64"/>
      </patternFill>
    </fill>
    <fill>
      <patternFill patternType="solid">
        <fgColor theme="0"/>
        <bgColor indexed="64"/>
      </patternFill>
    </fill>
  </fills>
  <borders count="10">
    <border>
      <left/>
      <right/>
      <top/>
      <bottom/>
      <diagonal/>
    </border>
    <border>
      <left/>
      <right/>
      <top/>
      <bottom style="thin">
        <color auto="1"/>
      </bottom>
      <diagonal/>
    </border>
    <border>
      <left/>
      <right/>
      <top/>
      <bottom style="thin">
        <color rgb="FFD9E1F2"/>
      </bottom>
      <diagonal/>
    </border>
    <border>
      <left style="thin">
        <color rgb="FFC7D3E3"/>
      </left>
      <right style="thin">
        <color rgb="FFC7D3E3"/>
      </right>
      <top style="thin">
        <color rgb="FFC7D3E3"/>
      </top>
      <bottom style="thin">
        <color rgb="FFC7D3E3"/>
      </bottom>
      <diagonal/>
    </border>
    <border>
      <left style="thin">
        <color rgb="FFC7D3E3"/>
      </left>
      <right style="thin">
        <color rgb="FFC7D3E3"/>
      </right>
      <top style="thin">
        <color rgb="FFC7D3E3"/>
      </top>
      <bottom/>
      <diagonal/>
    </border>
    <border>
      <left style="thin">
        <color rgb="FFD5DEE5"/>
      </left>
      <right style="thin">
        <color rgb="FFD5DEE5"/>
      </right>
      <top style="thin">
        <color rgb="FFD5DEE5"/>
      </top>
      <bottom style="thin">
        <color rgb="FFD5DEE5"/>
      </bottom>
      <diagonal/>
    </border>
    <border>
      <left style="thin">
        <color rgb="FFD5DEE5"/>
      </left>
      <right style="thin">
        <color rgb="FFD5DEE5"/>
      </right>
      <top/>
      <bottom style="thin">
        <color rgb="FFD5DEE5"/>
      </bottom>
      <diagonal/>
    </border>
    <border>
      <left style="thin">
        <color rgb="FFD5DEE5"/>
      </left>
      <right style="thin">
        <color rgb="FFD5DEE5"/>
      </right>
      <top style="thin">
        <color rgb="FF002D72"/>
      </top>
      <bottom style="thin">
        <color rgb="FF002D72"/>
      </bottom>
      <diagonal/>
    </border>
    <border>
      <left style="thin">
        <color rgb="FF002D72"/>
      </left>
      <right style="thin">
        <color rgb="FFD5DEE5"/>
      </right>
      <top style="thin">
        <color rgb="FF002D72"/>
      </top>
      <bottom style="thin">
        <color rgb="FF002D72"/>
      </bottom>
      <diagonal/>
    </border>
    <border>
      <left style="thin">
        <color rgb="FFD5DEE5"/>
      </left>
      <right style="thin">
        <color rgb="FF002D72"/>
      </right>
      <top style="thin">
        <color rgb="FF002D72"/>
      </top>
      <bottom style="thin">
        <color rgb="FF002D72"/>
      </bottom>
      <diagonal/>
    </border>
  </borders>
  <cellStyleXfs count="2">
    <xf numFmtId="0" fontId="0" fillId="0" borderId="0"/>
    <xf numFmtId="43" fontId="1" fillId="0" borderId="0" applyFont="0" applyFill="0" applyBorder="0" applyAlignment="0" applyProtection="0"/>
  </cellStyleXfs>
  <cellXfs count="141">
    <xf numFmtId="0" fontId="0" fillId="0" borderId="0" xfId="0"/>
    <xf numFmtId="0" fontId="2" fillId="0" borderId="0" xfId="0" applyFont="1" applyAlignment="1">
      <alignment vertical="center" wrapText="1"/>
    </xf>
    <xf numFmtId="0" fontId="5" fillId="0" borderId="0" xfId="0" applyFont="1" applyAlignment="1">
      <alignment vertical="center"/>
    </xf>
    <xf numFmtId="0" fontId="5" fillId="0" borderId="0" xfId="0" applyFont="1" applyAlignment="1">
      <alignment vertical="center" wrapText="1"/>
    </xf>
    <xf numFmtId="0" fontId="5" fillId="0" borderId="1" xfId="0" applyFont="1" applyBorder="1" applyAlignment="1">
      <alignment vertical="center" wrapText="1"/>
    </xf>
    <xf numFmtId="0" fontId="6" fillId="4" borderId="0" xfId="0" applyFont="1" applyFill="1" applyAlignment="1">
      <alignment vertical="center"/>
    </xf>
    <xf numFmtId="0" fontId="8" fillId="4" borderId="0" xfId="0" applyFont="1" applyFill="1" applyAlignment="1">
      <alignment vertical="center"/>
    </xf>
    <xf numFmtId="0" fontId="8" fillId="4" borderId="0" xfId="0" applyFont="1" applyFill="1" applyAlignment="1">
      <alignment vertical="center" wrapText="1"/>
    </xf>
    <xf numFmtId="0" fontId="9" fillId="6" borderId="3" xfId="0" applyFont="1" applyFill="1" applyBorder="1" applyAlignment="1">
      <alignment horizontal="center" vertical="center" wrapText="1"/>
    </xf>
    <xf numFmtId="0" fontId="4" fillId="5" borderId="0" xfId="0" applyFont="1" applyFill="1" applyAlignment="1">
      <alignment vertical="center" wrapText="1"/>
    </xf>
    <xf numFmtId="0" fontId="4" fillId="7" borderId="0" xfId="0" applyFont="1" applyFill="1" applyAlignment="1">
      <alignment vertical="center" wrapText="1"/>
    </xf>
    <xf numFmtId="0" fontId="4" fillId="8" borderId="0" xfId="0" applyFont="1" applyFill="1" applyAlignment="1">
      <alignment vertical="center" wrapText="1"/>
    </xf>
    <xf numFmtId="0" fontId="4" fillId="9" borderId="1" xfId="0" applyFont="1" applyFill="1" applyBorder="1" applyAlignment="1">
      <alignment vertical="center" wrapText="1"/>
    </xf>
    <xf numFmtId="49" fontId="4" fillId="7" borderId="3" xfId="0" applyNumberFormat="1" applyFont="1" applyFill="1" applyBorder="1" applyAlignment="1">
      <alignment vertical="center"/>
    </xf>
    <xf numFmtId="0" fontId="4" fillId="7" borderId="3" xfId="0" applyFont="1" applyFill="1" applyBorder="1" applyAlignment="1">
      <alignment vertical="center" wrapText="1"/>
    </xf>
    <xf numFmtId="168" fontId="4" fillId="7" borderId="3" xfId="0" applyNumberFormat="1" applyFont="1" applyFill="1" applyBorder="1" applyAlignment="1">
      <alignment vertical="center"/>
    </xf>
    <xf numFmtId="49" fontId="5" fillId="0" borderId="3" xfId="0" applyNumberFormat="1" applyFont="1" applyBorder="1" applyAlignment="1">
      <alignment vertical="center"/>
    </xf>
    <xf numFmtId="0" fontId="5" fillId="0" borderId="3" xfId="0" applyFont="1" applyBorder="1" applyAlignment="1">
      <alignment vertical="center" wrapText="1"/>
    </xf>
    <xf numFmtId="168" fontId="5" fillId="0" borderId="3" xfId="0" applyNumberFormat="1" applyFont="1" applyBorder="1" applyAlignment="1">
      <alignment vertical="center"/>
    </xf>
    <xf numFmtId="0" fontId="5" fillId="0" borderId="3" xfId="0" applyFont="1" applyBorder="1" applyAlignment="1">
      <alignment vertical="center"/>
    </xf>
    <xf numFmtId="168" fontId="5" fillId="0" borderId="3" xfId="1" applyNumberFormat="1" applyFont="1" applyBorder="1" applyAlignment="1">
      <alignment vertical="center"/>
    </xf>
    <xf numFmtId="2" fontId="5" fillId="0" borderId="3" xfId="0" applyNumberFormat="1" applyFont="1" applyBorder="1" applyAlignment="1">
      <alignment vertical="center"/>
    </xf>
    <xf numFmtId="0" fontId="5" fillId="0" borderId="3" xfId="0" applyFont="1" applyBorder="1" applyAlignment="1">
      <alignment horizontal="center" vertical="center"/>
    </xf>
    <xf numFmtId="0" fontId="5" fillId="7" borderId="0" xfId="0" applyFont="1" applyFill="1" applyAlignment="1">
      <alignment vertical="center"/>
    </xf>
    <xf numFmtId="0" fontId="4" fillId="7" borderId="0" xfId="0" applyFont="1" applyFill="1" applyAlignment="1">
      <alignment vertical="center"/>
    </xf>
    <xf numFmtId="167" fontId="4" fillId="7" borderId="0" xfId="1" applyNumberFormat="1" applyFont="1" applyFill="1" applyAlignment="1">
      <alignment vertical="center"/>
    </xf>
    <xf numFmtId="167" fontId="5" fillId="0" borderId="3" xfId="1" applyNumberFormat="1" applyFont="1" applyBorder="1" applyAlignment="1">
      <alignment vertical="center"/>
    </xf>
    <xf numFmtId="0" fontId="3" fillId="4" borderId="3" xfId="0" applyFont="1" applyFill="1" applyBorder="1" applyAlignment="1">
      <alignment vertical="center"/>
    </xf>
    <xf numFmtId="167" fontId="3" fillId="4" borderId="3" xfId="1" applyNumberFormat="1" applyFont="1" applyFill="1" applyBorder="1" applyAlignment="1">
      <alignment vertical="center"/>
    </xf>
    <xf numFmtId="0" fontId="3" fillId="4" borderId="3" xfId="0" applyFont="1" applyFill="1" applyBorder="1" applyAlignment="1">
      <alignment horizontal="center" vertical="center"/>
    </xf>
    <xf numFmtId="167" fontId="5" fillId="5" borderId="3" xfId="1" applyNumberFormat="1" applyFont="1" applyFill="1" applyBorder="1" applyAlignment="1">
      <alignment vertical="center"/>
    </xf>
    <xf numFmtId="0" fontId="10" fillId="5" borderId="0" xfId="0" applyFont="1" applyFill="1" applyAlignment="1">
      <alignment vertical="center" wrapText="1"/>
    </xf>
    <xf numFmtId="0" fontId="5" fillId="0" borderId="4" xfId="0" applyFont="1" applyBorder="1" applyAlignment="1">
      <alignment vertical="center"/>
    </xf>
    <xf numFmtId="0" fontId="5" fillId="0" borderId="3" xfId="0" applyFont="1" applyBorder="1" applyAlignment="1">
      <alignment horizontal="center" vertical="center" wrapText="1"/>
    </xf>
    <xf numFmtId="3" fontId="5" fillId="0" borderId="3" xfId="1" applyNumberFormat="1" applyFont="1" applyBorder="1" applyAlignment="1">
      <alignment vertical="center"/>
    </xf>
    <xf numFmtId="0" fontId="4" fillId="7" borderId="3" xfId="0" applyFont="1" applyFill="1" applyBorder="1" applyAlignment="1">
      <alignment horizontal="center" vertical="center"/>
    </xf>
    <xf numFmtId="0" fontId="4" fillId="7" borderId="3" xfId="0" applyFont="1" applyFill="1" applyBorder="1" applyAlignment="1">
      <alignment vertical="center"/>
    </xf>
    <xf numFmtId="167" fontId="4" fillId="7" borderId="3" xfId="1" applyNumberFormat="1" applyFont="1" applyFill="1" applyBorder="1" applyAlignment="1">
      <alignment vertical="center"/>
    </xf>
    <xf numFmtId="0" fontId="4" fillId="7" borderId="3" xfId="0" applyFont="1" applyFill="1" applyBorder="1" applyAlignment="1">
      <alignment horizontal="center" vertical="center" wrapText="1"/>
    </xf>
    <xf numFmtId="168" fontId="4" fillId="7" borderId="3" xfId="1" applyNumberFormat="1" applyFont="1" applyFill="1" applyBorder="1" applyAlignment="1">
      <alignment vertical="center"/>
    </xf>
    <xf numFmtId="43" fontId="4" fillId="7" borderId="3" xfId="1" applyFont="1" applyFill="1" applyBorder="1" applyAlignment="1">
      <alignment vertical="center"/>
    </xf>
    <xf numFmtId="0" fontId="4" fillId="2" borderId="3" xfId="0" applyFont="1" applyFill="1" applyBorder="1" applyAlignment="1">
      <alignment vertical="center"/>
    </xf>
    <xf numFmtId="2" fontId="4" fillId="2" borderId="3" xfId="0" applyNumberFormat="1" applyFont="1" applyFill="1" applyBorder="1" applyAlignment="1">
      <alignment vertical="center"/>
    </xf>
    <xf numFmtId="0" fontId="5" fillId="7" borderId="0" xfId="0" applyFont="1" applyFill="1" applyAlignment="1">
      <alignment horizontal="left" vertical="center"/>
    </xf>
    <xf numFmtId="0" fontId="4" fillId="0" borderId="0" xfId="0" applyFont="1" applyAlignment="1">
      <alignment vertical="center" wrapText="1"/>
    </xf>
    <xf numFmtId="0" fontId="4" fillId="0" borderId="0" xfId="0" applyFont="1" applyAlignment="1">
      <alignment horizontal="center" vertical="center" wrapText="1"/>
    </xf>
    <xf numFmtId="164" fontId="5" fillId="0" borderId="3" xfId="0" applyNumberFormat="1" applyFont="1" applyBorder="1" applyAlignment="1">
      <alignment vertical="center"/>
    </xf>
    <xf numFmtId="1" fontId="5" fillId="0" borderId="3" xfId="0" applyNumberFormat="1" applyFont="1" applyBorder="1" applyAlignment="1">
      <alignment vertical="center"/>
    </xf>
    <xf numFmtId="2" fontId="4" fillId="7" borderId="3" xfId="1" applyNumberFormat="1" applyFont="1" applyFill="1" applyBorder="1" applyAlignment="1">
      <alignment vertical="center"/>
    </xf>
    <xf numFmtId="2" fontId="4" fillId="7" borderId="3" xfId="0" applyNumberFormat="1" applyFont="1" applyFill="1" applyBorder="1" applyAlignment="1">
      <alignment vertical="center"/>
    </xf>
    <xf numFmtId="3" fontId="5" fillId="0" borderId="3" xfId="0" applyNumberFormat="1" applyFont="1" applyBorder="1" applyAlignment="1">
      <alignment vertical="center"/>
    </xf>
    <xf numFmtId="165" fontId="5" fillId="0" borderId="3" xfId="0" applyNumberFormat="1" applyFont="1" applyBorder="1" applyAlignment="1">
      <alignment vertical="center"/>
    </xf>
    <xf numFmtId="9" fontId="5" fillId="0" borderId="3" xfId="0" applyNumberFormat="1" applyFont="1" applyBorder="1" applyAlignment="1">
      <alignment vertical="center"/>
    </xf>
    <xf numFmtId="165" fontId="3" fillId="4" borderId="3" xfId="0" applyNumberFormat="1" applyFont="1" applyFill="1" applyBorder="1" applyAlignment="1">
      <alignment vertical="center"/>
    </xf>
    <xf numFmtId="164" fontId="5" fillId="0" borderId="3" xfId="0" applyNumberFormat="1" applyFont="1" applyBorder="1" applyAlignment="1">
      <alignment vertical="center" wrapText="1"/>
    </xf>
    <xf numFmtId="165" fontId="5" fillId="0" borderId="3" xfId="0" applyNumberFormat="1" applyFont="1" applyBorder="1" applyAlignment="1">
      <alignment vertical="center" wrapText="1"/>
    </xf>
    <xf numFmtId="166" fontId="5" fillId="0" borderId="3" xfId="0" applyNumberFormat="1" applyFont="1" applyBorder="1" applyAlignment="1">
      <alignment vertical="center" wrapText="1"/>
    </xf>
    <xf numFmtId="0" fontId="12" fillId="0" borderId="0" xfId="0" applyFont="1" applyAlignment="1">
      <alignment vertical="center"/>
    </xf>
    <xf numFmtId="0" fontId="12" fillId="0" borderId="0" xfId="0" applyFont="1" applyAlignment="1">
      <alignment horizontal="center" vertical="center"/>
    </xf>
    <xf numFmtId="3" fontId="12" fillId="0" borderId="0" xfId="0" applyNumberFormat="1" applyFont="1" applyAlignment="1">
      <alignment horizontal="right" vertical="center"/>
    </xf>
    <xf numFmtId="10" fontId="12" fillId="0" borderId="0" xfId="0" applyNumberFormat="1" applyFont="1" applyAlignment="1">
      <alignment horizontal="right" vertical="center"/>
    </xf>
    <xf numFmtId="1" fontId="12" fillId="0" borderId="0" xfId="0" applyNumberFormat="1" applyFont="1" applyAlignment="1">
      <alignment horizontal="right" vertical="center"/>
    </xf>
    <xf numFmtId="4" fontId="12" fillId="0" borderId="0" xfId="0" applyNumberFormat="1" applyFont="1" applyAlignment="1">
      <alignment vertical="center"/>
    </xf>
    <xf numFmtId="0" fontId="11" fillId="4" borderId="0" xfId="0" applyFont="1" applyFill="1" applyAlignment="1">
      <alignment vertical="center"/>
    </xf>
    <xf numFmtId="0" fontId="14" fillId="6" borderId="0" xfId="0" applyFont="1" applyFill="1" applyAlignment="1">
      <alignment horizontal="center" vertical="center" wrapText="1"/>
    </xf>
    <xf numFmtId="0" fontId="11" fillId="4" borderId="0" xfId="0" applyFont="1" applyFill="1" applyAlignment="1">
      <alignment horizontal="center" vertical="center"/>
    </xf>
    <xf numFmtId="3" fontId="11" fillId="4" borderId="2" xfId="0" applyNumberFormat="1" applyFont="1" applyFill="1" applyBorder="1" applyAlignment="1">
      <alignment horizontal="right" vertical="center"/>
    </xf>
    <xf numFmtId="0" fontId="11" fillId="4" borderId="2" xfId="0" applyFont="1" applyFill="1" applyBorder="1" applyAlignment="1">
      <alignment horizontal="right" vertical="center"/>
    </xf>
    <xf numFmtId="0" fontId="14" fillId="6" borderId="0" xfId="0" applyFont="1" applyFill="1" applyAlignment="1">
      <alignment horizontal="center" vertical="center"/>
    </xf>
    <xf numFmtId="3" fontId="12" fillId="0" borderId="0" xfId="0" applyNumberFormat="1" applyFont="1" applyAlignment="1">
      <alignment vertical="center"/>
    </xf>
    <xf numFmtId="10" fontId="12" fillId="0" borderId="0" xfId="0" applyNumberFormat="1" applyFont="1" applyAlignment="1">
      <alignment vertical="center"/>
    </xf>
    <xf numFmtId="1" fontId="12" fillId="0" borderId="0" xfId="0" applyNumberFormat="1" applyFont="1" applyAlignment="1">
      <alignment vertical="center"/>
    </xf>
    <xf numFmtId="2" fontId="12" fillId="0" borderId="0" xfId="0" applyNumberFormat="1" applyFont="1" applyAlignment="1">
      <alignment vertical="center"/>
    </xf>
    <xf numFmtId="3" fontId="11" fillId="4" borderId="0" xfId="0" applyNumberFormat="1" applyFont="1" applyFill="1" applyAlignment="1">
      <alignment vertical="center"/>
    </xf>
    <xf numFmtId="3" fontId="4" fillId="7" borderId="3" xfId="1" applyNumberFormat="1" applyFont="1" applyFill="1" applyBorder="1" applyAlignment="1">
      <alignment vertical="center"/>
    </xf>
    <xf numFmtId="0" fontId="4" fillId="10" borderId="5" xfId="0" applyFont="1" applyFill="1" applyBorder="1" applyAlignment="1">
      <alignment horizontal="center" vertical="center"/>
    </xf>
    <xf numFmtId="0" fontId="3" fillId="4" borderId="5" xfId="0" applyFont="1" applyFill="1" applyBorder="1" applyAlignment="1">
      <alignment horizontal="center" vertical="center"/>
    </xf>
    <xf numFmtId="0" fontId="4" fillId="10" borderId="6" xfId="0" applyFont="1" applyFill="1" applyBorder="1" applyAlignment="1">
      <alignment horizontal="center" vertical="center"/>
    </xf>
    <xf numFmtId="0" fontId="9" fillId="6" borderId="7" xfId="0" applyFont="1" applyFill="1" applyBorder="1" applyAlignment="1">
      <alignment horizontal="center" vertical="center" wrapText="1"/>
    </xf>
    <xf numFmtId="0" fontId="9" fillId="6" borderId="8" xfId="0" applyFont="1" applyFill="1" applyBorder="1" applyAlignment="1">
      <alignment horizontal="center" vertical="center" wrapText="1"/>
    </xf>
    <xf numFmtId="0" fontId="9" fillId="6" borderId="9" xfId="0" applyFont="1" applyFill="1" applyBorder="1" applyAlignment="1">
      <alignment horizontal="center" vertical="center" wrapText="1"/>
    </xf>
    <xf numFmtId="169" fontId="3" fillId="4" borderId="5" xfId="1" applyNumberFormat="1" applyFont="1" applyFill="1" applyBorder="1" applyAlignment="1" applyProtection="1">
      <alignment vertical="center"/>
    </xf>
    <xf numFmtId="164" fontId="4" fillId="11" borderId="4" xfId="0" applyNumberFormat="1" applyFont="1" applyFill="1" applyBorder="1" applyAlignment="1">
      <alignment vertical="center"/>
    </xf>
    <xf numFmtId="0" fontId="7" fillId="0" borderId="0" xfId="0" applyFont="1" applyAlignment="1">
      <alignment vertical="center" wrapText="1"/>
    </xf>
    <xf numFmtId="0" fontId="5" fillId="5" borderId="6" xfId="0" applyFont="1" applyFill="1" applyBorder="1" applyAlignment="1" applyProtection="1">
      <alignment horizontal="left" vertical="center" wrapText="1"/>
      <protection locked="0"/>
    </xf>
    <xf numFmtId="1" fontId="5" fillId="5" borderId="6" xfId="0" applyNumberFormat="1" applyFont="1" applyFill="1" applyBorder="1" applyAlignment="1" applyProtection="1">
      <alignment horizontal="center" vertical="center"/>
      <protection locked="0"/>
    </xf>
    <xf numFmtId="169" fontId="5" fillId="5" borderId="6" xfId="1" applyNumberFormat="1" applyFont="1" applyFill="1" applyBorder="1" applyAlignment="1" applyProtection="1">
      <alignment horizontal="right" vertical="center"/>
      <protection locked="0"/>
    </xf>
    <xf numFmtId="2" fontId="5" fillId="5" borderId="6" xfId="1" applyNumberFormat="1" applyFont="1" applyFill="1" applyBorder="1" applyAlignment="1" applyProtection="1">
      <alignment horizontal="center" vertical="center"/>
      <protection locked="0"/>
    </xf>
    <xf numFmtId="1" fontId="5" fillId="5" borderId="6" xfId="1" applyNumberFormat="1" applyFont="1" applyFill="1" applyBorder="1" applyAlignment="1" applyProtection="1">
      <alignment horizontal="center" vertical="center"/>
      <protection locked="0"/>
    </xf>
    <xf numFmtId="0" fontId="5" fillId="5" borderId="5" xfId="0" applyFont="1" applyFill="1" applyBorder="1" applyAlignment="1" applyProtection="1">
      <alignment horizontal="left" vertical="center" wrapText="1"/>
      <protection locked="0"/>
    </xf>
    <xf numFmtId="1" fontId="5" fillId="5" borderId="5" xfId="0" applyNumberFormat="1" applyFont="1" applyFill="1" applyBorder="1" applyAlignment="1" applyProtection="1">
      <alignment horizontal="center" vertical="center"/>
      <protection locked="0"/>
    </xf>
    <xf numFmtId="169" fontId="5" fillId="5" borderId="5" xfId="1" applyNumberFormat="1" applyFont="1" applyFill="1" applyBorder="1" applyAlignment="1" applyProtection="1">
      <alignment horizontal="right" vertical="center"/>
      <protection locked="0"/>
    </xf>
    <xf numFmtId="2" fontId="5" fillId="5" borderId="5" xfId="1" applyNumberFormat="1" applyFont="1" applyFill="1" applyBorder="1" applyAlignment="1" applyProtection="1">
      <alignment horizontal="center" vertical="center"/>
      <protection locked="0"/>
    </xf>
    <xf numFmtId="1" fontId="5" fillId="5" borderId="5" xfId="1" applyNumberFormat="1" applyFont="1" applyFill="1" applyBorder="1" applyAlignment="1" applyProtection="1">
      <alignment horizontal="center" vertical="center"/>
      <protection locked="0"/>
    </xf>
    <xf numFmtId="0" fontId="4" fillId="7" borderId="6" xfId="0" applyFont="1" applyFill="1" applyBorder="1" applyAlignment="1">
      <alignment horizontal="center" vertical="center"/>
    </xf>
    <xf numFmtId="0" fontId="4" fillId="7" borderId="5" xfId="0" applyFont="1" applyFill="1" applyBorder="1" applyAlignment="1">
      <alignment horizontal="center" vertical="center"/>
    </xf>
    <xf numFmtId="3" fontId="5" fillId="7" borderId="3" xfId="1" applyNumberFormat="1" applyFont="1" applyFill="1" applyBorder="1" applyAlignment="1">
      <alignment vertical="center"/>
    </xf>
    <xf numFmtId="166" fontId="5" fillId="7" borderId="3" xfId="0" applyNumberFormat="1" applyFont="1" applyFill="1" applyBorder="1" applyAlignment="1">
      <alignment vertical="center"/>
    </xf>
    <xf numFmtId="0" fontId="5" fillId="7" borderId="3" xfId="0" applyFont="1" applyFill="1" applyBorder="1" applyAlignment="1">
      <alignment horizontal="center" vertical="center"/>
    </xf>
    <xf numFmtId="0" fontId="5" fillId="7" borderId="3" xfId="0" applyFont="1" applyFill="1" applyBorder="1" applyAlignment="1">
      <alignment vertical="center"/>
    </xf>
    <xf numFmtId="10" fontId="4" fillId="7" borderId="4" xfId="0" applyNumberFormat="1" applyFont="1" applyFill="1" applyBorder="1" applyAlignment="1">
      <alignment vertical="center"/>
    </xf>
    <xf numFmtId="0" fontId="15" fillId="0" borderId="0" xfId="0" applyFont="1" applyAlignment="1">
      <alignment vertical="center" wrapText="1"/>
    </xf>
    <xf numFmtId="0" fontId="15" fillId="0" borderId="1" xfId="0" applyFont="1" applyBorder="1" applyAlignment="1">
      <alignment vertical="center" wrapText="1"/>
    </xf>
    <xf numFmtId="49" fontId="5" fillId="0" borderId="3" xfId="0" applyNumberFormat="1" applyFont="1" applyBorder="1" applyAlignment="1" applyProtection="1">
      <alignment vertical="center"/>
      <protection locked="0"/>
    </xf>
    <xf numFmtId="0" fontId="5" fillId="0" borderId="3" xfId="0" applyFont="1" applyBorder="1" applyAlignment="1" applyProtection="1">
      <alignment vertical="center" wrapText="1"/>
      <protection locked="0"/>
    </xf>
    <xf numFmtId="168" fontId="5" fillId="5" borderId="3" xfId="0" applyNumberFormat="1" applyFont="1" applyFill="1" applyBorder="1" applyAlignment="1" applyProtection="1">
      <alignment vertical="center"/>
      <protection locked="0"/>
    </xf>
    <xf numFmtId="0" fontId="0" fillId="0" borderId="0" xfId="0" applyProtection="1">
      <protection locked="0"/>
    </xf>
    <xf numFmtId="0" fontId="4" fillId="3" borderId="3" xfId="0" applyFont="1" applyFill="1" applyBorder="1" applyAlignment="1" applyProtection="1">
      <alignment vertical="center" wrapText="1"/>
      <protection locked="0"/>
    </xf>
    <xf numFmtId="168" fontId="4" fillId="5" borderId="3" xfId="0" applyNumberFormat="1" applyFont="1" applyFill="1" applyBorder="1" applyAlignment="1" applyProtection="1">
      <alignment vertical="center"/>
      <protection locked="0"/>
    </xf>
    <xf numFmtId="49" fontId="4" fillId="7" borderId="3" xfId="0" applyNumberFormat="1" applyFont="1" applyFill="1" applyBorder="1" applyAlignment="1" applyProtection="1">
      <alignment vertical="center"/>
      <protection locked="0"/>
    </xf>
    <xf numFmtId="0" fontId="4" fillId="7" borderId="3" xfId="0" applyFont="1" applyFill="1" applyBorder="1" applyAlignment="1" applyProtection="1">
      <alignment vertical="center" wrapText="1"/>
      <protection locked="0"/>
    </xf>
    <xf numFmtId="0" fontId="4" fillId="0" borderId="0" xfId="0" applyFont="1" applyAlignment="1" applyProtection="1">
      <alignment vertical="center"/>
      <protection locked="0"/>
    </xf>
    <xf numFmtId="0" fontId="9" fillId="5" borderId="0" xfId="0" applyFont="1" applyFill="1" applyAlignment="1" applyProtection="1">
      <alignment horizontal="center" vertical="center"/>
      <protection locked="0"/>
    </xf>
    <xf numFmtId="0" fontId="5" fillId="0" borderId="0" xfId="0" applyFont="1" applyAlignment="1" applyProtection="1">
      <alignment vertical="center"/>
      <protection locked="0"/>
    </xf>
    <xf numFmtId="0" fontId="5" fillId="0" borderId="4" xfId="0" applyFont="1" applyBorder="1" applyAlignment="1" applyProtection="1">
      <alignment vertical="center"/>
      <protection locked="0"/>
    </xf>
    <xf numFmtId="10" fontId="9" fillId="5" borderId="4" xfId="0" applyNumberFormat="1" applyFont="1" applyFill="1" applyBorder="1" applyAlignment="1" applyProtection="1">
      <alignment vertical="center"/>
      <protection locked="0"/>
    </xf>
    <xf numFmtId="0" fontId="5" fillId="0" borderId="4" xfId="0" applyFont="1" applyBorder="1" applyAlignment="1" applyProtection="1">
      <alignment horizontal="left" vertical="center"/>
      <protection locked="0"/>
    </xf>
    <xf numFmtId="0" fontId="5" fillId="0" borderId="3" xfId="0" applyFont="1" applyBorder="1" applyAlignment="1" applyProtection="1">
      <alignment vertical="center"/>
      <protection locked="0"/>
    </xf>
    <xf numFmtId="0" fontId="9" fillId="5" borderId="3" xfId="0" applyFont="1" applyFill="1" applyBorder="1" applyAlignment="1" applyProtection="1">
      <alignment vertical="center"/>
      <protection locked="0"/>
    </xf>
    <xf numFmtId="164" fontId="9" fillId="5" borderId="3" xfId="0" applyNumberFormat="1" applyFont="1" applyFill="1" applyBorder="1" applyAlignment="1" applyProtection="1">
      <alignment vertical="center"/>
      <protection locked="0"/>
    </xf>
    <xf numFmtId="0" fontId="6" fillId="4" borderId="0" xfId="0" applyFont="1" applyFill="1" applyAlignment="1">
      <alignment vertical="center"/>
    </xf>
    <xf numFmtId="0" fontId="10" fillId="5" borderId="0" xfId="0" applyFont="1" applyFill="1" applyAlignment="1">
      <alignment horizontal="left" vertical="center" wrapText="1"/>
    </xf>
    <xf numFmtId="0" fontId="8" fillId="4" borderId="0" xfId="0" applyFont="1" applyFill="1" applyAlignment="1">
      <alignment vertical="center" wrapText="1"/>
    </xf>
    <xf numFmtId="0" fontId="15" fillId="0" borderId="0" xfId="0" applyFont="1" applyAlignment="1">
      <alignment vertical="center" wrapText="1"/>
    </xf>
    <xf numFmtId="0" fontId="5" fillId="0" borderId="0" xfId="0" applyFont="1" applyAlignment="1">
      <alignment vertical="center" wrapText="1"/>
    </xf>
    <xf numFmtId="0" fontId="6" fillId="4" borderId="0" xfId="0" applyFont="1" applyFill="1" applyAlignment="1">
      <alignment horizontal="left" vertical="center"/>
    </xf>
    <xf numFmtId="0" fontId="8" fillId="4" borderId="0" xfId="0" applyFont="1" applyFill="1" applyAlignment="1">
      <alignment vertical="center"/>
    </xf>
    <xf numFmtId="0" fontId="3" fillId="4" borderId="5" xfId="0" applyFont="1" applyFill="1" applyBorder="1" applyAlignment="1">
      <alignment horizontal="center" vertical="center"/>
    </xf>
    <xf numFmtId="0" fontId="5" fillId="0" borderId="0" xfId="0" applyFont="1" applyAlignment="1" applyProtection="1">
      <alignment vertical="center"/>
      <protection locked="0"/>
    </xf>
    <xf numFmtId="0" fontId="5" fillId="0" borderId="3" xfId="0" applyFont="1" applyBorder="1" applyAlignment="1">
      <alignment vertical="center" wrapText="1"/>
    </xf>
    <xf numFmtId="0" fontId="5" fillId="5" borderId="0" xfId="0" applyFont="1" applyFill="1" applyAlignment="1">
      <alignment vertical="center" wrapText="1"/>
    </xf>
    <xf numFmtId="0" fontId="5" fillId="0" borderId="0" xfId="0" applyFont="1" applyAlignment="1">
      <alignment vertical="center"/>
    </xf>
    <xf numFmtId="0" fontId="5" fillId="7" borderId="0" xfId="0" applyFont="1" applyFill="1" applyAlignment="1">
      <alignment vertical="center"/>
    </xf>
    <xf numFmtId="0" fontId="10" fillId="5" borderId="0" xfId="0" applyFont="1" applyFill="1" applyAlignment="1">
      <alignment vertical="center" wrapText="1"/>
    </xf>
    <xf numFmtId="0" fontId="5" fillId="0" borderId="3" xfId="0" applyFont="1" applyBorder="1" applyAlignment="1">
      <alignment vertical="center"/>
    </xf>
    <xf numFmtId="0" fontId="11" fillId="4" borderId="2" xfId="0" applyFont="1" applyFill="1" applyBorder="1" applyAlignment="1">
      <alignment vertical="center"/>
    </xf>
    <xf numFmtId="0" fontId="13" fillId="5" borderId="0" xfId="0" applyFont="1" applyFill="1" applyAlignment="1">
      <alignment vertical="center" wrapText="1"/>
    </xf>
    <xf numFmtId="0" fontId="14" fillId="6" borderId="0" xfId="0" applyFont="1" applyFill="1" applyAlignment="1">
      <alignment horizontal="center" vertical="center" wrapText="1"/>
    </xf>
    <xf numFmtId="0" fontId="8" fillId="4" borderId="0" xfId="0" applyFont="1" applyFill="1" applyAlignment="1">
      <alignment horizontal="left" vertical="center" wrapText="1"/>
    </xf>
    <xf numFmtId="0" fontId="7" fillId="5" borderId="0" xfId="0" applyFont="1" applyFill="1" applyAlignment="1">
      <alignment vertical="center" wrapText="1"/>
    </xf>
    <xf numFmtId="0" fontId="11" fillId="4" borderId="0" xfId="0" applyFont="1" applyFill="1" applyAlignment="1">
      <alignment vertical="center"/>
    </xf>
  </cellXfs>
  <cellStyles count="2">
    <cellStyle name="Comma" xfId="1" builtinId="3"/>
    <cellStyle name="Normal" xfId="0" builtinId="0"/>
  </cellStyles>
  <dxfs count="56">
    <dxf>
      <font>
        <b/>
        <color rgb="FF9C0006"/>
      </font>
      <fill>
        <patternFill>
          <bgColor rgb="FFFCE4D6"/>
        </patternFill>
      </fill>
    </dxf>
    <dxf>
      <font>
        <b/>
        <color rgb="FF006100"/>
      </font>
      <fill>
        <patternFill>
          <bgColor rgb="FFE2F0D9"/>
        </patternFill>
      </fill>
    </dxf>
    <dxf>
      <font>
        <b/>
        <color rgb="FF991B1B"/>
      </font>
      <fill>
        <patternFill>
          <bgColor rgb="FFFEE2E2"/>
        </patternFill>
      </fill>
    </dxf>
    <dxf>
      <font>
        <b/>
        <color rgb="FF166534"/>
      </font>
      <fill>
        <patternFill>
          <bgColor rgb="FFDCFCE7"/>
        </patternFill>
      </fill>
    </dxf>
    <dxf>
      <font>
        <b/>
        <color rgb="FF9C0006"/>
      </font>
      <fill>
        <patternFill>
          <bgColor rgb="FFFCE4D6"/>
        </patternFill>
      </fill>
    </dxf>
    <dxf>
      <font>
        <b/>
        <color rgb="FF006100"/>
      </font>
      <fill>
        <patternFill>
          <bgColor rgb="FFE2F0D9"/>
        </patternFill>
      </fill>
    </dxf>
    <dxf>
      <font>
        <b/>
        <color rgb="FF991B1B"/>
      </font>
      <fill>
        <patternFill>
          <bgColor rgb="FFFEE2E2"/>
        </patternFill>
      </fill>
    </dxf>
    <dxf>
      <font>
        <b/>
        <color rgb="FF166534"/>
      </font>
      <fill>
        <patternFill>
          <bgColor rgb="FFDCFCE7"/>
        </patternFill>
      </fill>
    </dxf>
    <dxf>
      <font>
        <b/>
        <color rgb="FF991B1B"/>
      </font>
      <fill>
        <patternFill>
          <bgColor rgb="FFFECACA"/>
        </patternFill>
      </fill>
    </dxf>
    <dxf>
      <font>
        <b/>
        <color rgb="FF166534"/>
      </font>
      <fill>
        <patternFill>
          <bgColor rgb="FFDCFCE7"/>
        </patternFill>
      </fill>
    </dxf>
    <dxf>
      <font>
        <b/>
        <color rgb="FF9C0006"/>
      </font>
      <fill>
        <patternFill>
          <bgColor rgb="FFFFC7CE"/>
        </patternFill>
      </fill>
    </dxf>
    <dxf>
      <font>
        <b/>
        <color rgb="FF006100"/>
      </font>
      <fill>
        <patternFill>
          <bgColor rgb="FFC6EFCE"/>
        </patternFill>
      </fill>
    </dxf>
    <dxf>
      <font>
        <b/>
        <color rgb="FF9C0006"/>
      </font>
      <fill>
        <patternFill>
          <bgColor rgb="FFFCE4D6"/>
        </patternFill>
      </fill>
    </dxf>
    <dxf>
      <font>
        <b/>
        <color rgb="FF006100"/>
      </font>
      <fill>
        <patternFill>
          <bgColor rgb="FFE2F0D9"/>
        </patternFill>
      </fill>
    </dxf>
    <dxf>
      <font>
        <b/>
        <color rgb="FF9C0006"/>
      </font>
      <fill>
        <patternFill>
          <bgColor rgb="FFFFC7CE"/>
        </patternFill>
      </fill>
    </dxf>
    <dxf>
      <font>
        <b/>
        <color rgb="FF006100"/>
      </font>
      <fill>
        <patternFill>
          <bgColor rgb="FFC6EFCE"/>
        </patternFill>
      </fill>
    </dxf>
    <dxf>
      <font>
        <b/>
        <color rgb="FF991B1B"/>
      </font>
      <fill>
        <patternFill>
          <bgColor rgb="FFFECACA"/>
        </patternFill>
      </fill>
    </dxf>
    <dxf>
      <font>
        <b/>
        <color rgb="FF166534"/>
      </font>
      <fill>
        <patternFill>
          <bgColor rgb="FFDCFCE7"/>
        </patternFill>
      </fill>
    </dxf>
    <dxf>
      <font>
        <b/>
        <color rgb="FF9C0006"/>
      </font>
      <fill>
        <patternFill>
          <bgColor rgb="FFFCE4D6"/>
        </patternFill>
      </fill>
    </dxf>
    <dxf>
      <font>
        <b/>
        <color rgb="FF006100"/>
      </font>
      <fill>
        <patternFill>
          <bgColor rgb="FFE2F0D9"/>
        </patternFill>
      </fill>
    </dxf>
    <dxf>
      <font>
        <b/>
        <color rgb="FF991B1B"/>
      </font>
      <fill>
        <patternFill>
          <bgColor rgb="FFFEE2E2"/>
        </patternFill>
      </fill>
    </dxf>
    <dxf>
      <font>
        <b/>
        <color rgb="FF166534"/>
      </font>
      <fill>
        <patternFill>
          <bgColor rgb="FFDCFCE7"/>
        </patternFill>
      </fill>
    </dxf>
    <dxf>
      <font>
        <b/>
        <color rgb="FF9C0006"/>
      </font>
      <fill>
        <patternFill>
          <bgColor rgb="FFFCE4D6"/>
        </patternFill>
      </fill>
    </dxf>
    <dxf>
      <font>
        <b/>
        <color rgb="FF006100"/>
      </font>
      <fill>
        <patternFill>
          <bgColor rgb="FFE2F0D9"/>
        </patternFill>
      </fill>
    </dxf>
    <dxf>
      <font>
        <b/>
        <color rgb="FF991B1B"/>
      </font>
      <fill>
        <patternFill>
          <bgColor rgb="FFFEE2E2"/>
        </patternFill>
      </fill>
    </dxf>
    <dxf>
      <font>
        <b/>
        <color rgb="FF166534"/>
      </font>
      <fill>
        <patternFill>
          <bgColor rgb="FFDCFCE7"/>
        </patternFill>
      </fill>
    </dxf>
    <dxf>
      <font>
        <b/>
        <color rgb="FF991B1B"/>
      </font>
      <fill>
        <patternFill>
          <bgColor rgb="FFFECACA"/>
        </patternFill>
      </fill>
    </dxf>
    <dxf>
      <font>
        <b/>
        <color rgb="FF166534"/>
      </font>
      <fill>
        <patternFill>
          <bgColor rgb="FFDCFCE7"/>
        </patternFill>
      </fill>
    </dxf>
    <dxf>
      <font>
        <b/>
        <color rgb="FF9C0006"/>
      </font>
      <fill>
        <patternFill>
          <bgColor rgb="FFFFC7CE"/>
        </patternFill>
      </fill>
    </dxf>
    <dxf>
      <font>
        <b/>
        <color rgb="FF006100"/>
      </font>
      <fill>
        <patternFill>
          <bgColor rgb="FFC6EFCE"/>
        </patternFill>
      </fill>
    </dxf>
    <dxf>
      <font>
        <b/>
        <color rgb="FF9C0006"/>
      </font>
      <fill>
        <patternFill>
          <bgColor rgb="FFFCE4D6"/>
        </patternFill>
      </fill>
    </dxf>
    <dxf>
      <font>
        <b/>
        <color rgb="FF006100"/>
      </font>
      <fill>
        <patternFill>
          <bgColor rgb="FFE2F0D9"/>
        </patternFill>
      </fill>
    </dxf>
    <dxf>
      <font>
        <b/>
        <color rgb="FF9C0006"/>
      </font>
      <fill>
        <patternFill>
          <bgColor rgb="FFFFC7CE"/>
        </patternFill>
      </fill>
    </dxf>
    <dxf>
      <font>
        <b/>
        <color rgb="FF006100"/>
      </font>
      <fill>
        <patternFill>
          <bgColor rgb="FFC6EFCE"/>
        </patternFill>
      </fill>
    </dxf>
    <dxf>
      <font>
        <b/>
        <color rgb="FF991B1B"/>
      </font>
      <fill>
        <patternFill>
          <bgColor rgb="FFFECACA"/>
        </patternFill>
      </fill>
    </dxf>
    <dxf>
      <font>
        <b/>
        <color rgb="FF166534"/>
      </font>
      <fill>
        <patternFill>
          <bgColor rgb="FFDCFCE7"/>
        </patternFill>
      </fill>
    </dxf>
    <dxf>
      <font>
        <b/>
        <color rgb="FF9C0006"/>
      </font>
      <fill>
        <patternFill>
          <bgColor rgb="FFFFC7CE"/>
        </patternFill>
      </fill>
    </dxf>
    <dxf>
      <font>
        <b/>
        <color rgb="FF006100"/>
      </font>
      <fill>
        <patternFill>
          <bgColor rgb="FFC6EFCE"/>
        </patternFill>
      </fill>
    </dxf>
    <dxf>
      <font>
        <b/>
        <color rgb="FF9C0006"/>
      </font>
      <fill>
        <patternFill>
          <bgColor rgb="FFFFC7CE"/>
        </patternFill>
      </fill>
    </dxf>
    <dxf>
      <font>
        <b/>
        <color rgb="FF006100"/>
      </font>
      <fill>
        <patternFill>
          <bgColor rgb="FFC6EFCE"/>
        </patternFill>
      </fill>
    </dxf>
    <dxf>
      <font>
        <b/>
        <color rgb="FF9C0006"/>
      </font>
      <fill>
        <patternFill>
          <bgColor rgb="FFFFC7CE"/>
        </patternFill>
      </fill>
    </dxf>
    <dxf>
      <font>
        <b/>
        <color rgb="FF006100"/>
      </font>
      <fill>
        <patternFill>
          <bgColor rgb="FFC6EFCE"/>
        </patternFill>
      </fill>
    </dxf>
    <dxf>
      <font>
        <b/>
        <color rgb="FF991B1B"/>
      </font>
      <fill>
        <patternFill>
          <bgColor rgb="FFFECACA"/>
        </patternFill>
      </fill>
    </dxf>
    <dxf>
      <font>
        <b/>
        <color rgb="FF166534"/>
      </font>
      <fill>
        <patternFill>
          <bgColor rgb="FFDCFCE7"/>
        </patternFill>
      </fill>
    </dxf>
    <dxf>
      <font>
        <b/>
        <color rgb="FF9C0006"/>
      </font>
      <fill>
        <patternFill>
          <bgColor rgb="FFFFC7CE"/>
        </patternFill>
      </fill>
    </dxf>
    <dxf>
      <font>
        <b/>
        <color rgb="FF006100"/>
      </font>
      <fill>
        <patternFill>
          <bgColor rgb="FFC6EFCE"/>
        </patternFill>
      </fill>
    </dxf>
    <dxf>
      <font>
        <b/>
        <color rgb="FF9C0006"/>
      </font>
      <fill>
        <patternFill>
          <bgColor rgb="FFFFC7CE"/>
        </patternFill>
      </fill>
    </dxf>
    <dxf>
      <font>
        <b/>
        <color rgb="FF006100"/>
      </font>
      <fill>
        <patternFill>
          <bgColor rgb="FFC6EFCE"/>
        </patternFill>
      </fill>
    </dxf>
    <dxf>
      <font>
        <b/>
        <color rgb="FF9C0006"/>
      </font>
      <fill>
        <patternFill>
          <bgColor rgb="FFFFC7CE"/>
        </patternFill>
      </fill>
    </dxf>
    <dxf>
      <font>
        <b/>
        <color rgb="FF006100"/>
      </font>
      <fill>
        <patternFill>
          <bgColor rgb="FFC6EFCE"/>
        </patternFill>
      </fill>
    </dxf>
    <dxf>
      <font>
        <b/>
        <i val="0"/>
        <color rgb="FF9C0006"/>
      </font>
      <fill>
        <patternFill patternType="solid">
          <fgColor indexed="64"/>
          <bgColor rgb="FFFFC7CE"/>
        </patternFill>
      </fill>
    </dxf>
    <dxf>
      <font>
        <b/>
        <i val="0"/>
        <color rgb="FF006100"/>
      </font>
      <fill>
        <patternFill patternType="solid">
          <fgColor indexed="64"/>
          <bgColor rgb="FFC6EFCE"/>
        </patternFill>
      </fill>
    </dxf>
    <dxf>
      <font>
        <b/>
        <i val="0"/>
        <color rgb="FF9C0006"/>
      </font>
      <fill>
        <patternFill patternType="solid">
          <fgColor indexed="64"/>
          <bgColor rgb="FFFFC7CE"/>
        </patternFill>
      </fill>
    </dxf>
    <dxf>
      <font>
        <b/>
        <i val="0"/>
        <color rgb="FF006100"/>
      </font>
      <fill>
        <patternFill patternType="solid">
          <fgColor indexed="64"/>
          <bgColor rgb="FFC6EFCE"/>
        </patternFill>
      </fill>
    </dxf>
    <dxf>
      <font>
        <b/>
        <i val="0"/>
        <color rgb="FFB42318"/>
      </font>
      <fill>
        <patternFill patternType="solid">
          <fgColor indexed="64"/>
          <bgColor rgb="FFFCE8E6"/>
        </patternFill>
      </fill>
    </dxf>
    <dxf>
      <font>
        <b/>
        <i val="0"/>
        <color rgb="FF006B5A"/>
      </font>
      <fill>
        <patternFill patternType="solid">
          <fgColor indexed="64"/>
          <bgColor rgb="FFD9F3EE"/>
        </patternFill>
      </fill>
    </dxf>
  </dxfs>
  <tableStyles count="0" defaultTableStyle="TableStyleMedium2" defaultPivotStyle="PivotStyleLight16"/>
  <colors>
    <mruColors>
      <color rgb="FF24364B"/>
      <color rgb="FF597895"/>
      <color rgb="FFA6DF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3"/>
  <sheetViews>
    <sheetView workbookViewId="0">
      <selection activeCell="D35" sqref="D35"/>
    </sheetView>
  </sheetViews>
  <sheetFormatPr defaultRowHeight="14"/>
  <cols>
    <col min="1" max="1" width="14.6640625" customWidth="1"/>
    <col min="2" max="2" width="30" customWidth="1"/>
    <col min="3" max="3" width="51.6640625" customWidth="1"/>
    <col min="4" max="4" width="34.1640625" customWidth="1"/>
    <col min="5" max="8" width="3" customWidth="1"/>
  </cols>
  <sheetData>
    <row r="1" spans="1:8" ht="19.5">
      <c r="A1" s="125" t="s">
        <v>216</v>
      </c>
      <c r="B1" s="125"/>
      <c r="C1" s="125"/>
      <c r="D1" s="125"/>
      <c r="E1" s="125"/>
      <c r="F1" s="125"/>
      <c r="G1" s="125"/>
      <c r="H1" s="125"/>
    </row>
    <row r="2" spans="1:8">
      <c r="A2" s="2"/>
      <c r="B2" s="2"/>
      <c r="C2" s="2"/>
      <c r="D2" s="2"/>
      <c r="E2" s="2"/>
      <c r="F2" s="2"/>
      <c r="G2" s="2"/>
      <c r="H2" s="2"/>
    </row>
    <row r="3" spans="1:8" ht="14.5">
      <c r="A3" s="126" t="s">
        <v>217</v>
      </c>
      <c r="B3" s="126"/>
      <c r="C3" s="126"/>
      <c r="D3" s="126"/>
      <c r="E3" s="126"/>
      <c r="F3" s="126"/>
      <c r="G3" s="126"/>
      <c r="H3" s="126"/>
    </row>
    <row r="4" spans="1:8">
      <c r="A4" s="123" t="s">
        <v>300</v>
      </c>
      <c r="B4" s="123"/>
      <c r="C4" s="123"/>
      <c r="D4" s="123"/>
      <c r="E4" s="123"/>
      <c r="F4" s="123"/>
      <c r="G4" s="123"/>
      <c r="H4" s="123"/>
    </row>
    <row r="5" spans="1:8" ht="33.65" customHeight="1">
      <c r="A5" s="123" t="s">
        <v>301</v>
      </c>
      <c r="B5" s="123"/>
      <c r="C5" s="123"/>
      <c r="D5" s="123"/>
      <c r="E5" s="123"/>
      <c r="F5" s="123"/>
      <c r="G5" s="123"/>
      <c r="H5" s="123"/>
    </row>
    <row r="6" spans="1:8">
      <c r="A6" s="123" t="s">
        <v>285</v>
      </c>
      <c r="B6" s="123"/>
      <c r="C6" s="123"/>
      <c r="D6" s="123"/>
      <c r="E6" s="123"/>
      <c r="F6" s="123"/>
      <c r="G6" s="123"/>
      <c r="H6" s="123"/>
    </row>
    <row r="7" spans="1:8">
      <c r="A7" s="2"/>
      <c r="B7" s="2"/>
      <c r="C7" s="2"/>
      <c r="D7" s="2"/>
      <c r="E7" s="2"/>
      <c r="F7" s="2"/>
      <c r="G7" s="2"/>
      <c r="H7" s="2"/>
    </row>
    <row r="8" spans="1:8" ht="14.5">
      <c r="A8" s="126" t="s">
        <v>218</v>
      </c>
      <c r="B8" s="126"/>
      <c r="C8" s="126"/>
      <c r="D8" s="126"/>
      <c r="E8" s="126"/>
      <c r="F8" s="126"/>
      <c r="G8" s="126"/>
      <c r="H8" s="126"/>
    </row>
    <row r="9" spans="1:8">
      <c r="A9" s="8" t="s">
        <v>219</v>
      </c>
      <c r="B9" s="8" t="s">
        <v>220</v>
      </c>
      <c r="C9" s="8" t="s">
        <v>221</v>
      </c>
      <c r="D9" s="8" t="s">
        <v>222</v>
      </c>
      <c r="E9" s="3"/>
      <c r="F9" s="3"/>
      <c r="G9" s="3"/>
      <c r="H9" s="3"/>
    </row>
    <row r="10" spans="1:8" ht="84">
      <c r="A10" s="3">
        <v>1</v>
      </c>
      <c r="B10" s="3" t="s">
        <v>223</v>
      </c>
      <c r="C10" s="101" t="s">
        <v>302</v>
      </c>
      <c r="D10" s="101" t="s">
        <v>305</v>
      </c>
      <c r="E10" s="3"/>
      <c r="F10" s="3"/>
      <c r="G10" s="3"/>
      <c r="H10" s="3"/>
    </row>
    <row r="11" spans="1:8" ht="96">
      <c r="A11" s="3">
        <v>2</v>
      </c>
      <c r="B11" s="3" t="s">
        <v>224</v>
      </c>
      <c r="C11" s="101" t="s">
        <v>295</v>
      </c>
      <c r="D11" s="101" t="s">
        <v>225</v>
      </c>
      <c r="E11" s="3"/>
      <c r="F11" s="3"/>
      <c r="G11" s="3"/>
      <c r="H11" s="3"/>
    </row>
    <row r="12" spans="1:8" ht="60">
      <c r="A12" s="3">
        <v>3</v>
      </c>
      <c r="B12" s="3" t="s">
        <v>226</v>
      </c>
      <c r="C12" s="101" t="s">
        <v>296</v>
      </c>
      <c r="D12" s="101" t="s">
        <v>227</v>
      </c>
      <c r="E12" s="3"/>
      <c r="F12" s="3"/>
      <c r="G12" s="3"/>
      <c r="H12" s="3"/>
    </row>
    <row r="13" spans="1:8" ht="36">
      <c r="A13" s="3">
        <v>4</v>
      </c>
      <c r="B13" s="101" t="s">
        <v>228</v>
      </c>
      <c r="C13" s="101" t="s">
        <v>297</v>
      </c>
      <c r="D13" s="101" t="s">
        <v>229</v>
      </c>
      <c r="E13" s="3"/>
      <c r="F13" s="3"/>
      <c r="G13" s="3"/>
      <c r="H13" s="3"/>
    </row>
    <row r="14" spans="1:8" ht="24">
      <c r="A14" s="3">
        <v>5</v>
      </c>
      <c r="B14" s="3" t="s">
        <v>230</v>
      </c>
      <c r="C14" s="101" t="s">
        <v>298</v>
      </c>
      <c r="D14" s="101" t="s">
        <v>231</v>
      </c>
      <c r="E14" s="3"/>
      <c r="F14" s="3"/>
      <c r="G14" s="3"/>
      <c r="H14" s="3"/>
    </row>
    <row r="15" spans="1:8" ht="24">
      <c r="A15" s="4">
        <v>6</v>
      </c>
      <c r="B15" s="4" t="s">
        <v>232</v>
      </c>
      <c r="C15" s="102" t="s">
        <v>299</v>
      </c>
      <c r="D15" s="102" t="s">
        <v>233</v>
      </c>
      <c r="E15" s="3"/>
      <c r="F15" s="3"/>
      <c r="G15" s="3"/>
      <c r="H15" s="3"/>
    </row>
    <row r="16" spans="1:8">
      <c r="A16" s="3"/>
      <c r="B16" s="3"/>
      <c r="C16" s="3"/>
      <c r="D16" s="3"/>
      <c r="E16" s="3"/>
      <c r="F16" s="3"/>
      <c r="G16" s="3"/>
      <c r="H16" s="3"/>
    </row>
    <row r="17" spans="1:8" ht="14.5">
      <c r="A17" s="122" t="s">
        <v>234</v>
      </c>
      <c r="B17" s="122"/>
      <c r="C17" s="122"/>
      <c r="D17" s="122"/>
      <c r="E17" s="122"/>
      <c r="F17" s="122"/>
      <c r="G17" s="122"/>
      <c r="H17" s="122"/>
    </row>
    <row r="18" spans="1:8">
      <c r="A18" s="8" t="s">
        <v>220</v>
      </c>
      <c r="B18" s="8" t="s">
        <v>235</v>
      </c>
      <c r="C18" s="8" t="s">
        <v>236</v>
      </c>
      <c r="D18" s="8"/>
      <c r="E18" s="3"/>
      <c r="F18" s="3"/>
      <c r="G18" s="3"/>
      <c r="H18" s="3"/>
    </row>
    <row r="19" spans="1:8" ht="60">
      <c r="A19" s="3" t="s">
        <v>223</v>
      </c>
      <c r="B19" s="101" t="s">
        <v>288</v>
      </c>
      <c r="C19" s="101" t="s">
        <v>289</v>
      </c>
      <c r="D19" s="3"/>
      <c r="E19" s="3"/>
      <c r="F19" s="3"/>
      <c r="G19" s="3"/>
      <c r="H19" s="3"/>
    </row>
    <row r="20" spans="1:8" ht="36">
      <c r="A20" s="3" t="s">
        <v>224</v>
      </c>
      <c r="B20" s="101" t="s">
        <v>280</v>
      </c>
      <c r="C20" s="101" t="s">
        <v>303</v>
      </c>
      <c r="D20" s="3"/>
      <c r="E20" s="3"/>
      <c r="F20" s="3"/>
      <c r="G20" s="3"/>
      <c r="H20" s="3"/>
    </row>
    <row r="21" spans="1:8" ht="72">
      <c r="A21" s="3" t="s">
        <v>226</v>
      </c>
      <c r="B21" s="101" t="s">
        <v>290</v>
      </c>
      <c r="C21" s="101" t="s">
        <v>291</v>
      </c>
      <c r="D21" s="3"/>
      <c r="E21" s="3"/>
      <c r="F21" s="3"/>
      <c r="G21" s="3"/>
      <c r="H21" s="3"/>
    </row>
    <row r="22" spans="1:8" ht="24">
      <c r="A22" s="3" t="s">
        <v>228</v>
      </c>
      <c r="B22" s="101" t="s">
        <v>292</v>
      </c>
      <c r="C22" s="101" t="s">
        <v>237</v>
      </c>
      <c r="D22" s="3"/>
      <c r="E22" s="3"/>
      <c r="F22" s="3"/>
      <c r="G22" s="3"/>
      <c r="H22" s="3"/>
    </row>
    <row r="23" spans="1:8" ht="24">
      <c r="A23" s="3" t="s">
        <v>230</v>
      </c>
      <c r="B23" s="101" t="s">
        <v>293</v>
      </c>
      <c r="C23" s="101" t="s">
        <v>238</v>
      </c>
      <c r="D23" s="3"/>
      <c r="E23" s="3"/>
      <c r="F23" s="3"/>
      <c r="G23" s="3"/>
      <c r="H23" s="3"/>
    </row>
    <row r="24" spans="1:8" ht="36">
      <c r="A24" s="4" t="s">
        <v>232</v>
      </c>
      <c r="B24" s="102" t="s">
        <v>294</v>
      </c>
      <c r="C24" s="102" t="s">
        <v>239</v>
      </c>
      <c r="D24" s="3"/>
      <c r="E24" s="3"/>
      <c r="F24" s="3"/>
      <c r="G24" s="3"/>
      <c r="H24" s="3"/>
    </row>
    <row r="25" spans="1:8">
      <c r="A25" s="3"/>
      <c r="B25" s="3"/>
      <c r="C25" s="3"/>
      <c r="D25" s="3"/>
      <c r="E25" s="3"/>
      <c r="F25" s="3"/>
      <c r="G25" s="3"/>
      <c r="H25" s="3"/>
    </row>
    <row r="26" spans="1:8" ht="14.5">
      <c r="A26" s="122" t="s">
        <v>240</v>
      </c>
      <c r="B26" s="122"/>
      <c r="C26" s="122"/>
      <c r="D26" s="122"/>
      <c r="E26" s="122"/>
      <c r="F26" s="122"/>
      <c r="G26" s="122"/>
      <c r="H26" s="122"/>
    </row>
    <row r="27" spans="1:8">
      <c r="A27" s="8" t="s">
        <v>241</v>
      </c>
      <c r="B27" s="8" t="s">
        <v>242</v>
      </c>
      <c r="C27" s="8" t="s">
        <v>243</v>
      </c>
      <c r="D27" s="8" t="s">
        <v>244</v>
      </c>
      <c r="E27" s="3"/>
      <c r="F27" s="3"/>
      <c r="G27" s="3"/>
      <c r="H27" s="3"/>
    </row>
    <row r="28" spans="1:8" ht="24">
      <c r="A28" s="3" t="s">
        <v>228</v>
      </c>
      <c r="B28" s="3" t="s">
        <v>245</v>
      </c>
      <c r="C28" s="3" t="s">
        <v>246</v>
      </c>
      <c r="D28" s="101" t="s">
        <v>286</v>
      </c>
      <c r="E28" s="3"/>
      <c r="F28" s="3"/>
      <c r="G28" s="3"/>
      <c r="H28" s="3"/>
    </row>
    <row r="29" spans="1:8" ht="36">
      <c r="A29" s="3" t="s">
        <v>230</v>
      </c>
      <c r="B29" s="3" t="s">
        <v>247</v>
      </c>
      <c r="C29" s="3" t="s">
        <v>248</v>
      </c>
      <c r="D29" s="3" t="s">
        <v>249</v>
      </c>
      <c r="E29" s="3"/>
      <c r="F29" s="3"/>
      <c r="G29" s="3"/>
      <c r="H29" s="3"/>
    </row>
    <row r="30" spans="1:8" ht="24">
      <c r="A30" s="4" t="s">
        <v>232</v>
      </c>
      <c r="B30" s="4" t="s">
        <v>250</v>
      </c>
      <c r="C30" s="4" t="s">
        <v>251</v>
      </c>
      <c r="D30" s="4" t="s">
        <v>252</v>
      </c>
      <c r="E30" s="3"/>
      <c r="F30" s="3"/>
      <c r="G30" s="3"/>
      <c r="H30" s="3"/>
    </row>
    <row r="31" spans="1:8">
      <c r="A31" s="3"/>
      <c r="B31" s="3"/>
      <c r="C31" s="3"/>
      <c r="D31" s="3"/>
      <c r="E31" s="3"/>
      <c r="F31" s="3"/>
      <c r="G31" s="3"/>
      <c r="H31" s="3"/>
    </row>
    <row r="32" spans="1:8" ht="14.5">
      <c r="A32" s="122" t="s">
        <v>253</v>
      </c>
      <c r="B32" s="122"/>
      <c r="C32" s="122"/>
      <c r="D32" s="122"/>
      <c r="E32" s="122"/>
      <c r="F32" s="122"/>
      <c r="G32" s="122"/>
      <c r="H32" s="122"/>
    </row>
    <row r="33" spans="1:8">
      <c r="A33" s="8" t="s">
        <v>65</v>
      </c>
      <c r="B33" s="8" t="s">
        <v>26</v>
      </c>
      <c r="C33" s="8" t="s">
        <v>254</v>
      </c>
      <c r="D33" s="8"/>
      <c r="E33" s="3"/>
      <c r="F33" s="3"/>
      <c r="G33" s="3"/>
      <c r="H33" s="3"/>
    </row>
    <row r="34" spans="1:8" ht="24">
      <c r="A34" s="3" t="s">
        <v>23</v>
      </c>
      <c r="B34" s="3" t="s">
        <v>309</v>
      </c>
      <c r="C34" s="3" t="s">
        <v>312</v>
      </c>
      <c r="D34" s="3"/>
      <c r="E34" s="3"/>
      <c r="F34" s="3"/>
      <c r="G34" s="3"/>
      <c r="H34" s="3"/>
    </row>
    <row r="35" spans="1:8" ht="24">
      <c r="A35" s="3" t="s">
        <v>24</v>
      </c>
      <c r="B35" s="3" t="s">
        <v>310</v>
      </c>
      <c r="C35" s="3" t="s">
        <v>313</v>
      </c>
      <c r="D35" s="3"/>
      <c r="E35" s="3"/>
      <c r="F35" s="3"/>
      <c r="G35" s="3"/>
      <c r="H35" s="3"/>
    </row>
    <row r="36" spans="1:8">
      <c r="A36" s="3" t="s">
        <v>25</v>
      </c>
      <c r="B36" s="3" t="s">
        <v>255</v>
      </c>
      <c r="C36" s="3" t="s">
        <v>256</v>
      </c>
      <c r="D36" s="3"/>
      <c r="E36" s="3"/>
      <c r="F36" s="3"/>
      <c r="G36" s="3"/>
      <c r="H36" s="3"/>
    </row>
    <row r="37" spans="1:8">
      <c r="A37" s="3" t="s">
        <v>52</v>
      </c>
      <c r="B37" s="3" t="s">
        <v>257</v>
      </c>
      <c r="C37" s="3" t="s">
        <v>258</v>
      </c>
      <c r="D37" s="3"/>
      <c r="E37" s="3"/>
      <c r="F37" s="3"/>
      <c r="G37" s="3"/>
      <c r="H37" s="3"/>
    </row>
    <row r="38" spans="1:8" ht="24">
      <c r="A38" s="3" t="s">
        <v>44</v>
      </c>
      <c r="B38" s="3" t="s">
        <v>259</v>
      </c>
      <c r="C38" s="3" t="s">
        <v>260</v>
      </c>
      <c r="D38" s="3"/>
      <c r="E38" s="3"/>
      <c r="F38" s="3"/>
      <c r="G38" s="3"/>
      <c r="H38" s="3"/>
    </row>
    <row r="39" spans="1:8" ht="24">
      <c r="A39" s="4" t="s">
        <v>51</v>
      </c>
      <c r="B39" s="4" t="s">
        <v>261</v>
      </c>
      <c r="C39" s="4" t="s">
        <v>262</v>
      </c>
      <c r="D39" s="3"/>
      <c r="E39" s="3"/>
      <c r="F39" s="3"/>
      <c r="G39" s="3"/>
      <c r="H39" s="3"/>
    </row>
    <row r="40" spans="1:8">
      <c r="A40" s="3"/>
      <c r="B40" s="3"/>
      <c r="C40" s="3"/>
      <c r="D40" s="3"/>
      <c r="E40" s="3"/>
      <c r="F40" s="3"/>
      <c r="G40" s="3"/>
      <c r="H40" s="3"/>
    </row>
    <row r="41" spans="1:8" ht="14.5">
      <c r="A41" s="122" t="s">
        <v>263</v>
      </c>
      <c r="B41" s="122"/>
      <c r="C41" s="122"/>
      <c r="D41" s="122"/>
      <c r="E41" s="122"/>
      <c r="F41" s="122"/>
      <c r="G41" s="122"/>
      <c r="H41" s="122"/>
    </row>
    <row r="42" spans="1:8">
      <c r="A42" s="123" t="s">
        <v>264</v>
      </c>
      <c r="B42" s="124"/>
      <c r="C42" s="124"/>
      <c r="D42" s="124"/>
      <c r="E42" s="124"/>
      <c r="F42" s="124"/>
      <c r="G42" s="124"/>
      <c r="H42" s="124"/>
    </row>
    <row r="43" spans="1:8">
      <c r="A43" s="124" t="s">
        <v>311</v>
      </c>
      <c r="B43" s="124"/>
      <c r="C43" s="124"/>
      <c r="D43" s="124"/>
      <c r="E43" s="124"/>
      <c r="F43" s="124"/>
      <c r="G43" s="124"/>
      <c r="H43" s="124"/>
    </row>
    <row r="44" spans="1:8">
      <c r="A44" s="123" t="s">
        <v>265</v>
      </c>
      <c r="B44" s="124"/>
      <c r="C44" s="124"/>
      <c r="D44" s="124"/>
      <c r="E44" s="124"/>
      <c r="F44" s="124"/>
      <c r="G44" s="124"/>
      <c r="H44" s="124"/>
    </row>
    <row r="45" spans="1:8">
      <c r="A45" s="124" t="s">
        <v>266</v>
      </c>
      <c r="B45" s="124"/>
      <c r="C45" s="124"/>
      <c r="D45" s="124"/>
      <c r="E45" s="124"/>
      <c r="F45" s="124"/>
      <c r="G45" s="124"/>
      <c r="H45" s="124"/>
    </row>
    <row r="46" spans="1:8">
      <c r="A46" s="124" t="s">
        <v>267</v>
      </c>
      <c r="B46" s="124"/>
      <c r="C46" s="124"/>
      <c r="D46" s="124"/>
      <c r="E46" s="124"/>
      <c r="F46" s="124"/>
      <c r="G46" s="124"/>
      <c r="H46" s="124"/>
    </row>
    <row r="47" spans="1:8">
      <c r="A47" s="3"/>
      <c r="B47" s="3"/>
      <c r="C47" s="3"/>
      <c r="D47" s="3"/>
      <c r="E47" s="3"/>
      <c r="F47" s="3"/>
      <c r="G47" s="3"/>
      <c r="H47" s="3"/>
    </row>
    <row r="48" spans="1:8" ht="14.5">
      <c r="A48" s="122" t="s">
        <v>268</v>
      </c>
      <c r="B48" s="122"/>
      <c r="C48" s="122"/>
      <c r="D48" s="122"/>
      <c r="E48" s="122"/>
      <c r="F48" s="122"/>
      <c r="G48" s="122"/>
      <c r="H48" s="122"/>
    </row>
    <row r="49" spans="1:8">
      <c r="A49" s="9" t="s">
        <v>281</v>
      </c>
      <c r="B49" s="3" t="s">
        <v>269</v>
      </c>
      <c r="C49" s="3"/>
      <c r="D49" s="3"/>
      <c r="E49" s="3"/>
      <c r="F49" s="3"/>
      <c r="G49" s="3"/>
      <c r="H49" s="3"/>
    </row>
    <row r="50" spans="1:8">
      <c r="A50" s="10" t="s">
        <v>282</v>
      </c>
      <c r="B50" s="3" t="s">
        <v>270</v>
      </c>
      <c r="C50" s="3"/>
      <c r="D50" s="3"/>
      <c r="E50" s="3"/>
      <c r="F50" s="3"/>
      <c r="G50" s="3"/>
      <c r="H50" s="3"/>
    </row>
    <row r="51" spans="1:8">
      <c r="A51" s="11" t="s">
        <v>271</v>
      </c>
      <c r="B51" s="3" t="s">
        <v>272</v>
      </c>
      <c r="C51" s="3"/>
      <c r="D51" s="3"/>
      <c r="E51" s="3"/>
      <c r="F51" s="3"/>
      <c r="G51" s="3"/>
      <c r="H51" s="3"/>
    </row>
    <row r="52" spans="1:8" ht="24">
      <c r="A52" s="12" t="s">
        <v>273</v>
      </c>
      <c r="B52" s="4" t="s">
        <v>274</v>
      </c>
      <c r="C52" s="3"/>
      <c r="D52" s="3"/>
      <c r="E52" s="3"/>
      <c r="F52" s="3"/>
      <c r="G52" s="3"/>
      <c r="H52" s="3"/>
    </row>
    <row r="53" spans="1:8">
      <c r="A53" s="1"/>
      <c r="B53" s="1"/>
      <c r="C53" s="1"/>
      <c r="D53" s="1"/>
      <c r="E53" s="1"/>
      <c r="F53" s="1"/>
      <c r="G53" s="1"/>
      <c r="H53" s="1"/>
    </row>
  </sheetData>
  <mergeCells count="16">
    <mergeCell ref="A1:H1"/>
    <mergeCell ref="A3:H3"/>
    <mergeCell ref="A8:H8"/>
    <mergeCell ref="A4:H4"/>
    <mergeCell ref="A5:H5"/>
    <mergeCell ref="A6:H6"/>
    <mergeCell ref="A17:H17"/>
    <mergeCell ref="A26:H26"/>
    <mergeCell ref="A32:H32"/>
    <mergeCell ref="A41:H41"/>
    <mergeCell ref="A48:H48"/>
    <mergeCell ref="A42:H42"/>
    <mergeCell ref="A43:H43"/>
    <mergeCell ref="A44:H44"/>
    <mergeCell ref="A45:H45"/>
    <mergeCell ref="A46:H46"/>
  </mergeCells>
  <pageMargins left="0.7" right="0.7" top="0.75" bottom="0.75" header="0.3" footer="0.3"/>
  <pageSetup scale="7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424"/>
  <sheetViews>
    <sheetView showGridLines="0" topLeftCell="H1" workbookViewId="0">
      <selection activeCell="P5" sqref="P5"/>
    </sheetView>
  </sheetViews>
  <sheetFormatPr defaultRowHeight="14"/>
  <cols>
    <col min="1" max="1" width="7" customWidth="1"/>
    <col min="2" max="2" width="31.6640625" customWidth="1"/>
    <col min="3" max="3" width="14.6640625" customWidth="1"/>
    <col min="4" max="4" width="36.6640625" customWidth="1"/>
    <col min="5" max="6" width="10.33203125" customWidth="1"/>
    <col min="7" max="7" width="15.33203125" customWidth="1"/>
    <col min="8" max="8" width="17.5" customWidth="1"/>
    <col min="9" max="9" width="16" customWidth="1"/>
    <col min="10" max="11" width="17.5" customWidth="1"/>
    <col min="12" max="12" width="15" customWidth="1"/>
    <col min="13" max="14" width="16.6640625" customWidth="1"/>
    <col min="15" max="15" width="14.33203125" customWidth="1"/>
    <col min="16" max="16" width="16" customWidth="1"/>
    <col min="17" max="17" width="16.6640625" customWidth="1"/>
    <col min="18" max="20" width="0" hidden="1" customWidth="1"/>
  </cols>
  <sheetData>
    <row r="1" spans="1:20" ht="25" customHeight="1">
      <c r="A1" s="125" t="s">
        <v>0</v>
      </c>
      <c r="B1" s="125"/>
      <c r="C1" s="125"/>
      <c r="D1" s="125"/>
      <c r="E1" s="125"/>
      <c r="F1" s="125"/>
      <c r="G1" s="125"/>
      <c r="H1" s="125"/>
      <c r="I1" s="125"/>
      <c r="J1" s="125"/>
      <c r="K1" s="125"/>
      <c r="L1" s="125"/>
      <c r="M1" s="125"/>
      <c r="N1" s="125"/>
      <c r="O1" s="125"/>
      <c r="P1" s="125"/>
      <c r="Q1" s="125"/>
    </row>
    <row r="2" spans="1:20" ht="13.75" customHeight="1">
      <c r="A2" s="121" t="s">
        <v>284</v>
      </c>
      <c r="B2" s="121"/>
      <c r="C2" s="121"/>
      <c r="D2" s="121"/>
      <c r="E2" s="121"/>
      <c r="F2" s="121"/>
      <c r="G2" s="121"/>
      <c r="H2" s="121"/>
      <c r="I2" s="121"/>
      <c r="J2" s="121"/>
      <c r="K2" s="121"/>
      <c r="L2" s="121"/>
      <c r="M2" s="121"/>
      <c r="N2" s="121"/>
      <c r="O2" s="121"/>
      <c r="P2" s="121"/>
      <c r="Q2" s="121"/>
    </row>
    <row r="3" spans="1:20" ht="9" customHeight="1">
      <c r="A3" s="2"/>
      <c r="B3" s="2"/>
      <c r="C3" s="2"/>
      <c r="D3" s="2"/>
      <c r="E3" s="2"/>
      <c r="F3" s="2"/>
      <c r="G3" s="2"/>
      <c r="H3" s="2"/>
      <c r="I3" s="2"/>
      <c r="J3" s="2"/>
      <c r="K3" s="2"/>
      <c r="L3" s="2"/>
      <c r="M3" s="2"/>
      <c r="N3" s="2"/>
      <c r="O3" s="2"/>
      <c r="P3" s="2"/>
      <c r="Q3" s="2"/>
    </row>
    <row r="4" spans="1:20" ht="24">
      <c r="A4" s="79" t="s">
        <v>1</v>
      </c>
      <c r="B4" s="78" t="s">
        <v>2</v>
      </c>
      <c r="C4" s="78" t="s">
        <v>3</v>
      </c>
      <c r="D4" s="78" t="s">
        <v>4</v>
      </c>
      <c r="E4" s="78" t="s">
        <v>5</v>
      </c>
      <c r="F4" s="78" t="s">
        <v>6</v>
      </c>
      <c r="G4" s="78" t="s">
        <v>7</v>
      </c>
      <c r="H4" s="78" t="s">
        <v>304</v>
      </c>
      <c r="I4" s="78" t="s">
        <v>9</v>
      </c>
      <c r="J4" s="78" t="s">
        <v>10</v>
      </c>
      <c r="K4" s="78" t="s">
        <v>11</v>
      </c>
      <c r="L4" s="78" t="s">
        <v>12</v>
      </c>
      <c r="M4" s="78" t="s">
        <v>13</v>
      </c>
      <c r="N4" s="78" t="s">
        <v>14</v>
      </c>
      <c r="O4" s="78" t="s">
        <v>15</v>
      </c>
      <c r="P4" s="78" t="s">
        <v>16</v>
      </c>
      <c r="Q4" s="80" t="s">
        <v>17</v>
      </c>
    </row>
    <row r="5" spans="1:20">
      <c r="A5" s="77" t="s">
        <v>96</v>
      </c>
      <c r="B5" s="84"/>
      <c r="C5" s="84"/>
      <c r="D5" s="84" t="s">
        <v>116</v>
      </c>
      <c r="E5" s="85"/>
      <c r="F5" s="85"/>
      <c r="G5" s="85"/>
      <c r="H5" s="86"/>
      <c r="I5" s="86"/>
      <c r="J5" s="86"/>
      <c r="K5" s="86"/>
      <c r="L5" s="86"/>
      <c r="M5" s="86"/>
      <c r="N5" s="86"/>
      <c r="O5" s="87"/>
      <c r="P5" s="88"/>
      <c r="Q5" s="94" t="str">
        <f t="shared" ref="Q5:Q24" si="0">IF(COUNTA(H5:N5)=0,"",IF(OR(H5="",ABS(SUM(I5:N5)-H5)&gt;0.01,AND(N5&gt;0,OR(O5="",P5="",O5&lt;=0,P5&lt;=0))),"NEATITINKA","OK"))</f>
        <v/>
      </c>
      <c r="T5" t="s">
        <v>116</v>
      </c>
    </row>
    <row r="6" spans="1:20">
      <c r="A6" s="75" t="s">
        <v>97</v>
      </c>
      <c r="B6" s="89"/>
      <c r="C6" s="89"/>
      <c r="D6" s="89" t="s">
        <v>116</v>
      </c>
      <c r="E6" s="90"/>
      <c r="F6" s="90"/>
      <c r="G6" s="90"/>
      <c r="H6" s="91"/>
      <c r="I6" s="91"/>
      <c r="J6" s="91"/>
      <c r="K6" s="91"/>
      <c r="L6" s="91"/>
      <c r="M6" s="91"/>
      <c r="N6" s="91"/>
      <c r="O6" s="92"/>
      <c r="P6" s="93"/>
      <c r="Q6" s="95" t="str">
        <f t="shared" si="0"/>
        <v/>
      </c>
      <c r="T6" t="s">
        <v>117</v>
      </c>
    </row>
    <row r="7" spans="1:20">
      <c r="A7" s="75" t="s">
        <v>98</v>
      </c>
      <c r="B7" s="89"/>
      <c r="C7" s="89"/>
      <c r="D7" s="89" t="s">
        <v>116</v>
      </c>
      <c r="E7" s="90"/>
      <c r="F7" s="90"/>
      <c r="G7" s="90"/>
      <c r="H7" s="91"/>
      <c r="I7" s="91"/>
      <c r="J7" s="91"/>
      <c r="K7" s="91"/>
      <c r="L7" s="91"/>
      <c r="M7" s="91"/>
      <c r="N7" s="91"/>
      <c r="O7" s="92"/>
      <c r="P7" s="93"/>
      <c r="Q7" s="95" t="str">
        <f t="shared" si="0"/>
        <v/>
      </c>
      <c r="T7" t="s">
        <v>122</v>
      </c>
    </row>
    <row r="8" spans="1:20">
      <c r="A8" s="75" t="s">
        <v>99</v>
      </c>
      <c r="B8" s="89"/>
      <c r="C8" s="89"/>
      <c r="D8" s="89" t="s">
        <v>116</v>
      </c>
      <c r="E8" s="90"/>
      <c r="F8" s="90"/>
      <c r="G8" s="90"/>
      <c r="H8" s="91"/>
      <c r="I8" s="91"/>
      <c r="J8" s="91"/>
      <c r="K8" s="91"/>
      <c r="L8" s="91"/>
      <c r="M8" s="91"/>
      <c r="N8" s="91"/>
      <c r="O8" s="92"/>
      <c r="P8" s="93"/>
      <c r="Q8" s="95" t="str">
        <f t="shared" si="0"/>
        <v/>
      </c>
      <c r="T8" t="s">
        <v>118</v>
      </c>
    </row>
    <row r="9" spans="1:20">
      <c r="A9" s="75" t="s">
        <v>100</v>
      </c>
      <c r="B9" s="89"/>
      <c r="C9" s="89"/>
      <c r="D9" s="89" t="s">
        <v>116</v>
      </c>
      <c r="E9" s="90"/>
      <c r="F9" s="90"/>
      <c r="G9" s="90"/>
      <c r="H9" s="91"/>
      <c r="I9" s="91"/>
      <c r="J9" s="91"/>
      <c r="K9" s="91"/>
      <c r="L9" s="91"/>
      <c r="M9" s="91"/>
      <c r="N9" s="91"/>
      <c r="O9" s="92"/>
      <c r="P9" s="93"/>
      <c r="Q9" s="95" t="str">
        <f t="shared" si="0"/>
        <v/>
      </c>
      <c r="T9" t="s">
        <v>119</v>
      </c>
    </row>
    <row r="10" spans="1:20">
      <c r="A10" s="75" t="s">
        <v>101</v>
      </c>
      <c r="B10" s="89"/>
      <c r="C10" s="89"/>
      <c r="D10" s="89" t="s">
        <v>116</v>
      </c>
      <c r="E10" s="90"/>
      <c r="F10" s="90"/>
      <c r="G10" s="90"/>
      <c r="H10" s="91"/>
      <c r="I10" s="91"/>
      <c r="J10" s="91"/>
      <c r="K10" s="91"/>
      <c r="L10" s="91"/>
      <c r="M10" s="91"/>
      <c r="N10" s="91"/>
      <c r="O10" s="92"/>
      <c r="P10" s="93"/>
      <c r="Q10" s="95" t="str">
        <f t="shared" si="0"/>
        <v/>
      </c>
      <c r="T10" t="s">
        <v>123</v>
      </c>
    </row>
    <row r="11" spans="1:20">
      <c r="A11" s="75" t="s">
        <v>102</v>
      </c>
      <c r="B11" s="89"/>
      <c r="C11" s="89"/>
      <c r="D11" s="89" t="s">
        <v>116</v>
      </c>
      <c r="E11" s="90"/>
      <c r="F11" s="90"/>
      <c r="G11" s="90"/>
      <c r="H11" s="91"/>
      <c r="I11" s="91"/>
      <c r="J11" s="91"/>
      <c r="K11" s="91"/>
      <c r="L11" s="91"/>
      <c r="M11" s="91"/>
      <c r="N11" s="91"/>
      <c r="O11" s="92"/>
      <c r="P11" s="93"/>
      <c r="Q11" s="95" t="str">
        <f t="shared" si="0"/>
        <v/>
      </c>
      <c r="T11" t="s">
        <v>120</v>
      </c>
    </row>
    <row r="12" spans="1:20">
      <c r="A12" s="75" t="s">
        <v>103</v>
      </c>
      <c r="B12" s="89"/>
      <c r="C12" s="89"/>
      <c r="D12" s="89" t="s">
        <v>116</v>
      </c>
      <c r="E12" s="90"/>
      <c r="F12" s="90"/>
      <c r="G12" s="90"/>
      <c r="H12" s="91"/>
      <c r="I12" s="91"/>
      <c r="J12" s="91"/>
      <c r="K12" s="91"/>
      <c r="L12" s="91"/>
      <c r="M12" s="91"/>
      <c r="N12" s="91"/>
      <c r="O12" s="92"/>
      <c r="P12" s="93"/>
      <c r="Q12" s="95" t="str">
        <f t="shared" si="0"/>
        <v/>
      </c>
      <c r="T12" t="s">
        <v>121</v>
      </c>
    </row>
    <row r="13" spans="1:20">
      <c r="A13" s="75" t="s">
        <v>104</v>
      </c>
      <c r="B13" s="89"/>
      <c r="C13" s="89"/>
      <c r="D13" s="89" t="s">
        <v>116</v>
      </c>
      <c r="E13" s="90"/>
      <c r="F13" s="90"/>
      <c r="G13" s="90"/>
      <c r="H13" s="91"/>
      <c r="I13" s="91"/>
      <c r="J13" s="91"/>
      <c r="K13" s="91"/>
      <c r="L13" s="91"/>
      <c r="M13" s="91"/>
      <c r="N13" s="91"/>
      <c r="O13" s="92"/>
      <c r="P13" s="93"/>
      <c r="Q13" s="95" t="str">
        <f t="shared" si="0"/>
        <v/>
      </c>
    </row>
    <row r="14" spans="1:20">
      <c r="A14" s="75" t="s">
        <v>105</v>
      </c>
      <c r="B14" s="89"/>
      <c r="C14" s="89"/>
      <c r="D14" s="89" t="s">
        <v>116</v>
      </c>
      <c r="E14" s="90"/>
      <c r="F14" s="90"/>
      <c r="G14" s="90"/>
      <c r="H14" s="91"/>
      <c r="I14" s="91"/>
      <c r="J14" s="91"/>
      <c r="K14" s="91"/>
      <c r="L14" s="91"/>
      <c r="M14" s="91"/>
      <c r="N14" s="91"/>
      <c r="O14" s="92"/>
      <c r="P14" s="93"/>
      <c r="Q14" s="95" t="str">
        <f t="shared" si="0"/>
        <v/>
      </c>
    </row>
    <row r="15" spans="1:20">
      <c r="A15" s="75" t="s">
        <v>106</v>
      </c>
      <c r="B15" s="89"/>
      <c r="C15" s="89"/>
      <c r="D15" s="89" t="s">
        <v>116</v>
      </c>
      <c r="E15" s="90"/>
      <c r="F15" s="90"/>
      <c r="G15" s="90"/>
      <c r="H15" s="91"/>
      <c r="I15" s="91"/>
      <c r="J15" s="91"/>
      <c r="K15" s="91"/>
      <c r="L15" s="91"/>
      <c r="M15" s="91"/>
      <c r="N15" s="91"/>
      <c r="O15" s="92"/>
      <c r="P15" s="93"/>
      <c r="Q15" s="95" t="str">
        <f t="shared" si="0"/>
        <v/>
      </c>
    </row>
    <row r="16" spans="1:20">
      <c r="A16" s="75" t="s">
        <v>107</v>
      </c>
      <c r="B16" s="89"/>
      <c r="C16" s="89"/>
      <c r="D16" s="89" t="s">
        <v>116</v>
      </c>
      <c r="E16" s="90"/>
      <c r="F16" s="90"/>
      <c r="G16" s="90"/>
      <c r="H16" s="91"/>
      <c r="I16" s="91"/>
      <c r="J16" s="91"/>
      <c r="K16" s="91"/>
      <c r="L16" s="91"/>
      <c r="M16" s="91"/>
      <c r="N16" s="91"/>
      <c r="O16" s="92"/>
      <c r="P16" s="93"/>
      <c r="Q16" s="95" t="str">
        <f t="shared" si="0"/>
        <v/>
      </c>
    </row>
    <row r="17" spans="1:17">
      <c r="A17" s="75" t="s">
        <v>108</v>
      </c>
      <c r="B17" s="89"/>
      <c r="C17" s="89"/>
      <c r="D17" s="89" t="s">
        <v>116</v>
      </c>
      <c r="E17" s="90"/>
      <c r="F17" s="90"/>
      <c r="G17" s="90"/>
      <c r="H17" s="91"/>
      <c r="I17" s="91"/>
      <c r="J17" s="91"/>
      <c r="K17" s="91"/>
      <c r="L17" s="91"/>
      <c r="M17" s="91"/>
      <c r="N17" s="91"/>
      <c r="O17" s="92"/>
      <c r="P17" s="93"/>
      <c r="Q17" s="95" t="str">
        <f t="shared" si="0"/>
        <v/>
      </c>
    </row>
    <row r="18" spans="1:17">
      <c r="A18" s="75" t="s">
        <v>109</v>
      </c>
      <c r="B18" s="89"/>
      <c r="C18" s="89"/>
      <c r="D18" s="89" t="s">
        <v>116</v>
      </c>
      <c r="E18" s="90"/>
      <c r="F18" s="90"/>
      <c r="G18" s="90"/>
      <c r="H18" s="91"/>
      <c r="I18" s="91"/>
      <c r="J18" s="91"/>
      <c r="K18" s="91"/>
      <c r="L18" s="91"/>
      <c r="M18" s="91"/>
      <c r="N18" s="91"/>
      <c r="O18" s="92"/>
      <c r="P18" s="93"/>
      <c r="Q18" s="95" t="str">
        <f t="shared" si="0"/>
        <v/>
      </c>
    </row>
    <row r="19" spans="1:17">
      <c r="A19" s="75" t="s">
        <v>110</v>
      </c>
      <c r="B19" s="89"/>
      <c r="C19" s="89"/>
      <c r="D19" s="89" t="s">
        <v>116</v>
      </c>
      <c r="E19" s="90"/>
      <c r="F19" s="90"/>
      <c r="G19" s="90"/>
      <c r="H19" s="91"/>
      <c r="I19" s="91"/>
      <c r="J19" s="91"/>
      <c r="K19" s="91"/>
      <c r="L19" s="91"/>
      <c r="M19" s="91"/>
      <c r="N19" s="91"/>
      <c r="O19" s="92"/>
      <c r="P19" s="93"/>
      <c r="Q19" s="95" t="str">
        <f t="shared" si="0"/>
        <v/>
      </c>
    </row>
    <row r="20" spans="1:17">
      <c r="A20" s="75" t="s">
        <v>111</v>
      </c>
      <c r="B20" s="89"/>
      <c r="C20" s="89"/>
      <c r="D20" s="89" t="s">
        <v>116</v>
      </c>
      <c r="E20" s="90"/>
      <c r="F20" s="90"/>
      <c r="G20" s="90"/>
      <c r="H20" s="91"/>
      <c r="I20" s="91"/>
      <c r="J20" s="91"/>
      <c r="K20" s="91"/>
      <c r="L20" s="91"/>
      <c r="M20" s="91"/>
      <c r="N20" s="91"/>
      <c r="O20" s="92"/>
      <c r="P20" s="93"/>
      <c r="Q20" s="95" t="str">
        <f t="shared" si="0"/>
        <v/>
      </c>
    </row>
    <row r="21" spans="1:17">
      <c r="A21" s="75" t="s">
        <v>112</v>
      </c>
      <c r="B21" s="89"/>
      <c r="C21" s="89"/>
      <c r="D21" s="89" t="s">
        <v>116</v>
      </c>
      <c r="E21" s="90"/>
      <c r="F21" s="90"/>
      <c r="G21" s="90"/>
      <c r="H21" s="91"/>
      <c r="I21" s="91"/>
      <c r="J21" s="91"/>
      <c r="K21" s="91"/>
      <c r="L21" s="91"/>
      <c r="M21" s="91"/>
      <c r="N21" s="91"/>
      <c r="O21" s="92"/>
      <c r="P21" s="93"/>
      <c r="Q21" s="95" t="str">
        <f t="shared" si="0"/>
        <v/>
      </c>
    </row>
    <row r="22" spans="1:17">
      <c r="A22" s="75" t="s">
        <v>113</v>
      </c>
      <c r="B22" s="89"/>
      <c r="C22" s="89"/>
      <c r="D22" s="89" t="s">
        <v>116</v>
      </c>
      <c r="E22" s="90"/>
      <c r="F22" s="90"/>
      <c r="G22" s="90"/>
      <c r="H22" s="91"/>
      <c r="I22" s="91"/>
      <c r="J22" s="91"/>
      <c r="K22" s="91"/>
      <c r="L22" s="91"/>
      <c r="M22" s="91"/>
      <c r="N22" s="91"/>
      <c r="O22" s="92"/>
      <c r="P22" s="93"/>
      <c r="Q22" s="95" t="str">
        <f t="shared" si="0"/>
        <v/>
      </c>
    </row>
    <row r="23" spans="1:17">
      <c r="A23" s="75" t="s">
        <v>114</v>
      </c>
      <c r="B23" s="89"/>
      <c r="C23" s="89"/>
      <c r="D23" s="89" t="s">
        <v>116</v>
      </c>
      <c r="E23" s="90"/>
      <c r="F23" s="90"/>
      <c r="G23" s="90"/>
      <c r="H23" s="91"/>
      <c r="I23" s="91"/>
      <c r="J23" s="91"/>
      <c r="K23" s="91"/>
      <c r="L23" s="91"/>
      <c r="M23" s="91"/>
      <c r="N23" s="91"/>
      <c r="O23" s="92"/>
      <c r="P23" s="93"/>
      <c r="Q23" s="95" t="str">
        <f t="shared" si="0"/>
        <v/>
      </c>
    </row>
    <row r="24" spans="1:17">
      <c r="A24" s="75" t="s">
        <v>115</v>
      </c>
      <c r="B24" s="89"/>
      <c r="C24" s="89"/>
      <c r="D24" s="89" t="s">
        <v>116</v>
      </c>
      <c r="E24" s="90"/>
      <c r="F24" s="90"/>
      <c r="G24" s="90"/>
      <c r="H24" s="91"/>
      <c r="I24" s="91"/>
      <c r="J24" s="91"/>
      <c r="K24" s="91"/>
      <c r="L24" s="91"/>
      <c r="M24" s="91"/>
      <c r="N24" s="91"/>
      <c r="O24" s="92"/>
      <c r="P24" s="93"/>
      <c r="Q24" s="95" t="str">
        <f t="shared" si="0"/>
        <v/>
      </c>
    </row>
    <row r="25" spans="1:17">
      <c r="A25" s="127" t="s">
        <v>125</v>
      </c>
      <c r="B25" s="127"/>
      <c r="C25" s="76" t="s">
        <v>126</v>
      </c>
      <c r="D25" s="76" t="s">
        <v>126</v>
      </c>
      <c r="E25" s="76" t="s">
        <v>126</v>
      </c>
      <c r="F25" s="76" t="s">
        <v>126</v>
      </c>
      <c r="G25" s="76" t="s">
        <v>126</v>
      </c>
      <c r="H25" s="81">
        <f>SUM(H5:H24)</f>
        <v>0</v>
      </c>
      <c r="I25" s="81">
        <f t="shared" ref="I25:N25" si="1">SUM(I5:I24)</f>
        <v>0</v>
      </c>
      <c r="J25" s="81">
        <f t="shared" si="1"/>
        <v>0</v>
      </c>
      <c r="K25" s="81">
        <f t="shared" si="1"/>
        <v>0</v>
      </c>
      <c r="L25" s="81">
        <f t="shared" si="1"/>
        <v>0</v>
      </c>
      <c r="M25" s="81">
        <f t="shared" si="1"/>
        <v>0</v>
      </c>
      <c r="N25" s="81">
        <f t="shared" si="1"/>
        <v>0</v>
      </c>
      <c r="O25" s="76" t="s">
        <v>126</v>
      </c>
      <c r="P25" s="76" t="s">
        <v>126</v>
      </c>
      <c r="Q25" s="76" t="s">
        <v>126</v>
      </c>
    </row>
    <row r="26" spans="1:17" ht="16" customHeight="1"/>
    <row r="27" spans="1:17" ht="16" customHeight="1"/>
    <row r="28" spans="1:17" ht="16" customHeight="1"/>
    <row r="29" spans="1:17" ht="16" customHeight="1"/>
    <row r="30" spans="1:17" ht="16" customHeight="1"/>
    <row r="31" spans="1:17" ht="16" customHeight="1"/>
    <row r="32" spans="1:17" ht="16" customHeight="1"/>
    <row r="33" ht="16" customHeight="1"/>
    <row r="34" ht="16" customHeight="1"/>
    <row r="35" ht="16" customHeight="1"/>
    <row r="36" ht="16" customHeight="1"/>
    <row r="37" ht="16" customHeight="1"/>
    <row r="38" ht="16" customHeight="1"/>
    <row r="39" ht="16" customHeight="1"/>
    <row r="40" ht="16" customHeight="1"/>
    <row r="41" ht="16" customHeight="1"/>
    <row r="42" ht="16" customHeight="1"/>
    <row r="43" ht="16" customHeight="1"/>
    <row r="44" ht="16" customHeight="1"/>
    <row r="45" ht="16" customHeight="1"/>
    <row r="46" ht="16" customHeight="1"/>
    <row r="47" ht="16" customHeight="1"/>
    <row r="48" ht="16" customHeight="1"/>
    <row r="49" ht="16" customHeight="1"/>
    <row r="50" ht="16" customHeight="1"/>
    <row r="51" ht="16" customHeight="1"/>
    <row r="52" ht="16" customHeight="1"/>
    <row r="53" ht="16" customHeight="1"/>
    <row r="54" ht="16" customHeight="1"/>
    <row r="55" ht="16" customHeight="1"/>
    <row r="56" ht="16" customHeight="1"/>
    <row r="57" ht="16" customHeight="1"/>
    <row r="58" ht="16" customHeight="1"/>
    <row r="59" ht="16" customHeight="1"/>
    <row r="60" ht="16" customHeight="1"/>
    <row r="61" ht="16" customHeight="1"/>
    <row r="62" ht="16" customHeight="1"/>
    <row r="63" ht="16" customHeight="1"/>
    <row r="64" ht="16" customHeight="1"/>
    <row r="65" ht="16" customHeight="1"/>
    <row r="66" ht="16" customHeight="1"/>
    <row r="67" ht="16" customHeight="1"/>
    <row r="68" ht="16" customHeight="1"/>
    <row r="69" ht="16" customHeight="1"/>
    <row r="70" ht="16" customHeight="1"/>
    <row r="71" ht="16" customHeight="1"/>
    <row r="72" ht="16" customHeight="1"/>
    <row r="73" ht="16" customHeight="1"/>
    <row r="74" ht="16" customHeight="1"/>
    <row r="75" ht="16" customHeight="1"/>
    <row r="76" ht="16" customHeight="1"/>
    <row r="77" ht="16" customHeight="1"/>
    <row r="78" ht="16" customHeight="1"/>
    <row r="79" ht="16" customHeight="1"/>
    <row r="80" ht="16" customHeight="1"/>
    <row r="81" ht="16" customHeight="1"/>
    <row r="82" ht="16" customHeight="1"/>
    <row r="83" ht="16" customHeight="1"/>
    <row r="84" ht="16" customHeight="1"/>
    <row r="85" ht="16" customHeight="1"/>
    <row r="86" ht="16" customHeight="1"/>
    <row r="87" ht="16" customHeight="1"/>
    <row r="88" ht="16" customHeight="1"/>
    <row r="89" ht="16" customHeight="1"/>
    <row r="90" ht="16" customHeight="1"/>
    <row r="91" ht="16" customHeight="1"/>
    <row r="92" ht="16" customHeight="1"/>
    <row r="93" ht="16" customHeight="1"/>
    <row r="94" ht="16" customHeight="1"/>
    <row r="95" ht="16" customHeight="1"/>
    <row r="96" ht="16" customHeight="1"/>
    <row r="97" ht="16" customHeight="1"/>
    <row r="98" ht="16" customHeight="1"/>
    <row r="99" ht="16" customHeight="1"/>
    <row r="100" ht="16" customHeight="1"/>
    <row r="101" ht="16" customHeight="1"/>
    <row r="102" ht="16" customHeight="1"/>
    <row r="103" ht="16" customHeight="1"/>
    <row r="104" ht="16" customHeight="1"/>
    <row r="105" ht="16" customHeight="1"/>
    <row r="106" ht="16" customHeight="1"/>
    <row r="107" ht="16" customHeight="1"/>
    <row r="108" ht="16" customHeight="1"/>
    <row r="109" ht="16" customHeight="1"/>
    <row r="110" ht="16" customHeight="1"/>
    <row r="111" ht="16" customHeight="1"/>
    <row r="112" ht="16" customHeight="1"/>
    <row r="113" ht="16" customHeight="1"/>
    <row r="114" ht="16" customHeight="1"/>
    <row r="115" ht="16" customHeight="1"/>
    <row r="116" ht="16" customHeight="1"/>
    <row r="117" ht="16" customHeight="1"/>
    <row r="118" ht="16" customHeight="1"/>
    <row r="119" ht="16" customHeight="1"/>
    <row r="120" ht="16" customHeight="1"/>
    <row r="121" ht="16" customHeight="1"/>
    <row r="122" ht="16" customHeight="1"/>
    <row r="123" ht="16" customHeight="1"/>
    <row r="124" ht="16" customHeight="1"/>
    <row r="125" ht="16" customHeight="1"/>
    <row r="126" ht="16" customHeight="1"/>
    <row r="127" ht="16" customHeight="1"/>
    <row r="128" ht="16" customHeight="1"/>
    <row r="129" ht="16" customHeight="1"/>
    <row r="130" ht="16" customHeight="1"/>
    <row r="131" ht="16" customHeight="1"/>
    <row r="132" ht="16" customHeight="1"/>
    <row r="133" ht="16" customHeight="1"/>
    <row r="134" ht="16" customHeight="1"/>
    <row r="135" ht="16" customHeight="1"/>
    <row r="136" ht="16" customHeight="1"/>
    <row r="137" ht="16" customHeight="1"/>
    <row r="138" ht="16" customHeight="1"/>
    <row r="139" ht="16" customHeight="1"/>
    <row r="140" ht="16" customHeight="1"/>
    <row r="141" ht="16" customHeight="1"/>
    <row r="142" ht="16" customHeight="1"/>
    <row r="143" ht="16" customHeight="1"/>
    <row r="144" ht="16" customHeight="1"/>
    <row r="145" ht="16" customHeight="1"/>
    <row r="146" ht="16" customHeight="1"/>
    <row r="147" ht="16" customHeight="1"/>
    <row r="148" ht="16" customHeight="1"/>
    <row r="149" ht="16" customHeight="1"/>
    <row r="150" ht="16" customHeight="1"/>
    <row r="151" ht="16" customHeight="1"/>
    <row r="152" ht="16" customHeight="1"/>
    <row r="153" ht="16" customHeight="1"/>
    <row r="154" ht="16" customHeight="1"/>
    <row r="155" ht="16" customHeight="1"/>
    <row r="156" ht="16" customHeight="1"/>
    <row r="157" ht="16" customHeight="1"/>
    <row r="158" ht="16" customHeight="1"/>
    <row r="159" ht="16" customHeight="1"/>
    <row r="160" ht="16" customHeight="1"/>
    <row r="161" ht="16" customHeight="1"/>
    <row r="162" ht="16" customHeight="1"/>
    <row r="163" ht="16" customHeight="1"/>
    <row r="164" ht="16" customHeight="1"/>
    <row r="165" ht="16" customHeight="1"/>
    <row r="166" ht="16" customHeight="1"/>
    <row r="167" ht="16" customHeight="1"/>
    <row r="168" ht="16" customHeight="1"/>
    <row r="169" ht="16" customHeight="1"/>
    <row r="170" ht="16" customHeight="1"/>
    <row r="171" ht="16" customHeight="1"/>
    <row r="172" ht="16" customHeight="1"/>
    <row r="173" ht="16" customHeight="1"/>
    <row r="174" ht="16" customHeight="1"/>
    <row r="175" ht="16" customHeight="1"/>
    <row r="176" ht="16" customHeight="1"/>
    <row r="177" ht="16" customHeight="1"/>
    <row r="178" ht="16" customHeight="1"/>
    <row r="179" ht="16" customHeight="1"/>
    <row r="180" ht="16" customHeight="1"/>
    <row r="181" ht="16" customHeight="1"/>
    <row r="182" ht="16" customHeight="1"/>
    <row r="183" ht="16" customHeight="1"/>
    <row r="184" ht="16" customHeight="1"/>
    <row r="185" ht="16" customHeight="1"/>
    <row r="186" ht="16" customHeight="1"/>
    <row r="187" ht="16" customHeight="1"/>
    <row r="188" ht="16" customHeight="1"/>
    <row r="189" ht="16" customHeight="1"/>
    <row r="190" ht="16" customHeight="1"/>
    <row r="191" ht="16" customHeight="1"/>
    <row r="192" ht="16" customHeight="1"/>
    <row r="193" ht="16" customHeight="1"/>
    <row r="194" ht="16" customHeight="1"/>
    <row r="195" ht="16" customHeight="1"/>
    <row r="196" ht="16" customHeight="1"/>
    <row r="197" ht="16" customHeight="1"/>
    <row r="198" ht="16" customHeight="1"/>
    <row r="199" ht="16" customHeight="1"/>
    <row r="200" ht="16" customHeight="1"/>
    <row r="201" ht="16" customHeight="1"/>
    <row r="202" ht="16" customHeight="1"/>
    <row r="203" ht="16" customHeight="1"/>
    <row r="204" ht="16" customHeight="1"/>
    <row r="205" ht="16" customHeight="1"/>
    <row r="206" ht="16" customHeight="1"/>
    <row r="207" ht="16" customHeight="1"/>
    <row r="208" ht="16" customHeight="1"/>
    <row r="209" ht="16" customHeight="1"/>
    <row r="210" ht="16" customHeight="1"/>
    <row r="211" ht="16" customHeight="1"/>
    <row r="212" ht="16" customHeight="1"/>
    <row r="213" ht="16" customHeight="1"/>
    <row r="214" ht="16" customHeight="1"/>
    <row r="215" ht="16" customHeight="1"/>
    <row r="216" ht="16" customHeight="1"/>
    <row r="217" ht="16" customHeight="1"/>
    <row r="218" ht="16" customHeight="1"/>
    <row r="219" ht="16" customHeight="1"/>
    <row r="220" ht="16" customHeight="1"/>
    <row r="221" ht="16" customHeight="1"/>
    <row r="222" ht="16" customHeight="1"/>
    <row r="223" ht="16" customHeight="1"/>
    <row r="224" ht="16" customHeight="1"/>
    <row r="225" ht="16" customHeight="1"/>
    <row r="226" ht="16" customHeight="1"/>
    <row r="227" ht="16" customHeight="1"/>
    <row r="228" ht="16" customHeight="1"/>
    <row r="229" ht="16" customHeight="1"/>
    <row r="230" ht="16" customHeight="1"/>
    <row r="231" ht="16" customHeight="1"/>
    <row r="232" ht="16" customHeight="1"/>
    <row r="233" ht="16" customHeight="1"/>
    <row r="234" ht="16" customHeight="1"/>
    <row r="235" ht="16" customHeight="1"/>
    <row r="236" ht="16" customHeight="1"/>
    <row r="237" ht="16" customHeight="1"/>
    <row r="238" ht="16" customHeight="1"/>
    <row r="239" ht="16" customHeight="1"/>
    <row r="240" ht="16" customHeight="1"/>
    <row r="241" ht="16" customHeight="1"/>
    <row r="242" ht="16" customHeight="1"/>
    <row r="243" ht="16" customHeight="1"/>
    <row r="244" ht="16" customHeight="1"/>
    <row r="245" ht="16" customHeight="1"/>
    <row r="246" ht="16" customHeight="1"/>
    <row r="247" ht="16" customHeight="1"/>
    <row r="248" ht="16" customHeight="1"/>
    <row r="249" ht="16" customHeight="1"/>
    <row r="250" ht="16" customHeight="1"/>
    <row r="251" ht="16" customHeight="1"/>
    <row r="252" ht="16" customHeight="1"/>
    <row r="253" ht="16" customHeight="1"/>
    <row r="254" ht="16" customHeight="1"/>
    <row r="255" ht="16" customHeight="1"/>
    <row r="256" ht="16" customHeight="1"/>
    <row r="257" ht="16" customHeight="1"/>
    <row r="258" ht="16" customHeight="1"/>
    <row r="259" ht="16" customHeight="1"/>
    <row r="260" ht="16" customHeight="1"/>
    <row r="261" ht="16" customHeight="1"/>
    <row r="262" ht="16" customHeight="1"/>
    <row r="263" ht="16" customHeight="1"/>
    <row r="264" ht="16" customHeight="1"/>
    <row r="265" ht="16" customHeight="1"/>
    <row r="266" ht="16" customHeight="1"/>
    <row r="267" ht="16" customHeight="1"/>
    <row r="268" ht="16" customHeight="1"/>
    <row r="269" ht="16" customHeight="1"/>
    <row r="270" ht="16" customHeight="1"/>
    <row r="271" ht="16" customHeight="1"/>
    <row r="272" ht="16" customHeight="1"/>
    <row r="273" ht="16" customHeight="1"/>
    <row r="274" ht="16" customHeight="1"/>
    <row r="275" ht="16" customHeight="1"/>
    <row r="276" ht="16" customHeight="1"/>
    <row r="277" ht="16" customHeight="1"/>
    <row r="278" ht="16" customHeight="1"/>
    <row r="279" ht="16" customHeight="1"/>
    <row r="280" ht="16" customHeight="1"/>
    <row r="281" ht="16" customHeight="1"/>
    <row r="282" ht="16" customHeight="1"/>
    <row r="283" ht="16" customHeight="1"/>
    <row r="284" ht="16" customHeight="1"/>
    <row r="285" ht="16" customHeight="1"/>
    <row r="286" ht="16" customHeight="1"/>
    <row r="287" ht="16" customHeight="1"/>
    <row r="288" ht="16" customHeight="1"/>
    <row r="289" ht="16" customHeight="1"/>
    <row r="290" ht="16" customHeight="1"/>
    <row r="291" ht="16" customHeight="1"/>
    <row r="292" ht="16" customHeight="1"/>
    <row r="293" ht="16" customHeight="1"/>
    <row r="294" ht="16" customHeight="1"/>
    <row r="295" ht="16" customHeight="1"/>
    <row r="296" ht="16" customHeight="1"/>
    <row r="297" ht="16" customHeight="1"/>
    <row r="298" ht="16" customHeight="1"/>
    <row r="299" ht="16" customHeight="1"/>
    <row r="300" ht="16" customHeight="1"/>
    <row r="301" ht="16" customHeight="1"/>
    <row r="302" ht="16" customHeight="1"/>
    <row r="303" ht="16" customHeight="1"/>
    <row r="304" ht="16" customHeight="1"/>
    <row r="305" ht="16" customHeight="1"/>
    <row r="306" ht="16" customHeight="1"/>
    <row r="307" ht="16" customHeight="1"/>
    <row r="308" ht="16" customHeight="1"/>
    <row r="309" ht="16" customHeight="1"/>
    <row r="310" ht="16" customHeight="1"/>
    <row r="311" ht="16" customHeight="1"/>
    <row r="312" ht="16" customHeight="1"/>
    <row r="313" ht="16" customHeight="1"/>
    <row r="314" ht="16" customHeight="1"/>
    <row r="315" ht="16" customHeight="1"/>
    <row r="316" ht="16" customHeight="1"/>
    <row r="317" ht="16" customHeight="1"/>
    <row r="318" ht="16" customHeight="1"/>
    <row r="319" ht="16" customHeight="1"/>
    <row r="320" ht="16" customHeight="1"/>
    <row r="321" ht="16" customHeight="1"/>
    <row r="322" ht="16" customHeight="1"/>
    <row r="323" ht="16" customHeight="1"/>
    <row r="324" ht="16" customHeight="1"/>
    <row r="325" ht="16" customHeight="1"/>
    <row r="326" ht="16" customHeight="1"/>
    <row r="327" ht="16" customHeight="1"/>
    <row r="328" ht="16" customHeight="1"/>
    <row r="329" ht="16" customHeight="1"/>
    <row r="330" ht="16" customHeight="1"/>
    <row r="331" ht="16" customHeight="1"/>
    <row r="332" ht="16" customHeight="1"/>
    <row r="333" ht="16" customHeight="1"/>
    <row r="334" ht="16" customHeight="1"/>
    <row r="335" ht="16" customHeight="1"/>
    <row r="336" ht="16" customHeight="1"/>
    <row r="337" ht="16" customHeight="1"/>
    <row r="338" ht="16" customHeight="1"/>
    <row r="339" ht="16" customHeight="1"/>
    <row r="340" ht="16" customHeight="1"/>
    <row r="341" ht="16" customHeight="1"/>
    <row r="342" ht="16" customHeight="1"/>
    <row r="343" ht="16" customHeight="1"/>
    <row r="344" ht="16" customHeight="1"/>
    <row r="345" ht="16" customHeight="1"/>
    <row r="346" ht="16" customHeight="1"/>
    <row r="347" ht="16" customHeight="1"/>
    <row r="348" ht="16" customHeight="1"/>
    <row r="349" ht="16" customHeight="1"/>
    <row r="350" ht="16" customHeight="1"/>
    <row r="351" ht="16" customHeight="1"/>
    <row r="352" ht="16" customHeight="1"/>
    <row r="353" ht="16" customHeight="1"/>
    <row r="354" ht="16" customHeight="1"/>
    <row r="355" ht="16" customHeight="1"/>
    <row r="356" ht="16" customHeight="1"/>
    <row r="357" ht="16" customHeight="1"/>
    <row r="358" ht="16" customHeight="1"/>
    <row r="359" ht="16" customHeight="1"/>
    <row r="360" ht="16" customHeight="1"/>
    <row r="361" ht="16" customHeight="1"/>
    <row r="362" ht="16" customHeight="1"/>
    <row r="363" ht="16" customHeight="1"/>
    <row r="364" ht="16" customHeight="1"/>
    <row r="365" ht="16" customHeight="1"/>
    <row r="366" ht="16" customHeight="1"/>
    <row r="367" ht="16" customHeight="1"/>
    <row r="368" ht="16" customHeight="1"/>
    <row r="369" ht="16" customHeight="1"/>
    <row r="370" ht="16" customHeight="1"/>
    <row r="371" ht="16" customHeight="1"/>
    <row r="372" ht="16" customHeight="1"/>
    <row r="373" ht="16" customHeight="1"/>
    <row r="374" ht="16" customHeight="1"/>
    <row r="375" ht="16" customHeight="1"/>
    <row r="376" ht="16" customHeight="1"/>
    <row r="377" ht="16" customHeight="1"/>
    <row r="378" ht="16" customHeight="1"/>
    <row r="379" ht="16" customHeight="1"/>
    <row r="380" ht="16" customHeight="1"/>
    <row r="381" ht="16" customHeight="1"/>
    <row r="382" ht="16" customHeight="1"/>
    <row r="383" ht="16" customHeight="1"/>
    <row r="384" ht="16" customHeight="1"/>
    <row r="385" ht="16" customHeight="1"/>
    <row r="386" ht="16" customHeight="1"/>
    <row r="387" ht="16" customHeight="1"/>
    <row r="388" ht="16" customHeight="1"/>
    <row r="389" ht="16" customHeight="1"/>
    <row r="390" ht="16" customHeight="1"/>
    <row r="391" ht="16" customHeight="1"/>
    <row r="392" ht="16" customHeight="1"/>
    <row r="393" ht="16" customHeight="1"/>
    <row r="394" ht="16" customHeight="1"/>
    <row r="395" ht="16" customHeight="1"/>
    <row r="396" ht="16" customHeight="1"/>
    <row r="397" ht="16" customHeight="1"/>
    <row r="398" ht="16" customHeight="1"/>
    <row r="399" ht="16" customHeight="1"/>
    <row r="400" ht="16" customHeight="1"/>
    <row r="401" ht="16" customHeight="1"/>
    <row r="402" ht="16" customHeight="1"/>
    <row r="403" ht="16" customHeight="1"/>
    <row r="404" ht="16" customHeight="1"/>
    <row r="405" ht="16" customHeight="1"/>
    <row r="406" ht="16" customHeight="1"/>
    <row r="407" ht="16" customHeight="1"/>
    <row r="408" ht="16" customHeight="1"/>
    <row r="409" ht="16" customHeight="1"/>
    <row r="410" ht="16" customHeight="1"/>
    <row r="411" ht="16" customHeight="1"/>
    <row r="412" ht="16" customHeight="1"/>
    <row r="413" ht="16" customHeight="1"/>
    <row r="414" ht="16" customHeight="1"/>
    <row r="415" ht="16" customHeight="1"/>
    <row r="416" ht="16" customHeight="1"/>
    <row r="417" ht="16" customHeight="1"/>
    <row r="418" ht="16" customHeight="1"/>
    <row r="419" ht="16" customHeight="1"/>
    <row r="420" ht="16" customHeight="1"/>
    <row r="421" ht="16" customHeight="1"/>
    <row r="422" ht="16" customHeight="1"/>
    <row r="423" ht="16" customHeight="1"/>
    <row r="424" ht="16" customHeight="1"/>
    <row r="425" ht="16" customHeight="1"/>
    <row r="426" ht="16" customHeight="1"/>
    <row r="427" ht="16" customHeight="1"/>
    <row r="428" ht="16" customHeight="1"/>
    <row r="429" ht="16" customHeight="1"/>
    <row r="430" ht="16" customHeight="1"/>
    <row r="431" ht="16" customHeight="1"/>
    <row r="432" ht="16" customHeight="1"/>
    <row r="433" ht="16" customHeight="1"/>
    <row r="434" ht="16" customHeight="1"/>
    <row r="435" ht="16" customHeight="1"/>
    <row r="436" ht="16" customHeight="1"/>
    <row r="437" ht="16" customHeight="1"/>
    <row r="438" ht="16" customHeight="1"/>
    <row r="439" ht="16" customHeight="1"/>
    <row r="440" ht="16" customHeight="1"/>
    <row r="441" ht="16" customHeight="1"/>
    <row r="442" ht="16" customHeight="1"/>
    <row r="443" ht="16" customHeight="1"/>
    <row r="444" ht="16" customHeight="1"/>
    <row r="445" ht="16" customHeight="1"/>
    <row r="446" ht="16" customHeight="1"/>
    <row r="447" ht="16" customHeight="1"/>
    <row r="448" ht="16" customHeight="1"/>
    <row r="449" ht="16" customHeight="1"/>
    <row r="450" ht="16" customHeight="1"/>
    <row r="451" ht="16" customHeight="1"/>
    <row r="452" ht="16" customHeight="1"/>
    <row r="453" ht="16" customHeight="1"/>
    <row r="454" ht="16" customHeight="1"/>
    <row r="455" ht="16" customHeight="1"/>
    <row r="456" ht="16" customHeight="1"/>
    <row r="457" ht="16" customHeight="1"/>
    <row r="458" ht="16" customHeight="1"/>
    <row r="459" ht="16" customHeight="1"/>
    <row r="460" ht="16" customHeight="1"/>
    <row r="461" ht="16" customHeight="1"/>
    <row r="462" ht="16" customHeight="1"/>
    <row r="463" ht="16" customHeight="1"/>
    <row r="464" ht="16" customHeight="1"/>
    <row r="465" ht="16" customHeight="1"/>
    <row r="466" ht="16" customHeight="1"/>
    <row r="467" ht="16" customHeight="1"/>
    <row r="468" ht="16" customHeight="1"/>
    <row r="469" ht="16" customHeight="1"/>
    <row r="470" ht="16" customHeight="1"/>
    <row r="471" ht="16" customHeight="1"/>
    <row r="472" ht="16" customHeight="1"/>
    <row r="473" ht="16" customHeight="1"/>
    <row r="474" ht="16" customHeight="1"/>
    <row r="475" ht="16" customHeight="1"/>
    <row r="476" ht="16" customHeight="1"/>
    <row r="477" ht="16" customHeight="1"/>
    <row r="478" ht="16" customHeight="1"/>
    <row r="479" ht="16" customHeight="1"/>
    <row r="480" ht="16" customHeight="1"/>
    <row r="481" ht="16" customHeight="1"/>
    <row r="482" ht="16" customHeight="1"/>
    <row r="483" ht="16" customHeight="1"/>
    <row r="484" ht="16" customHeight="1"/>
    <row r="485" ht="16" customHeight="1"/>
    <row r="486" ht="16" customHeight="1"/>
    <row r="487" ht="16" customHeight="1"/>
    <row r="488" ht="16" customHeight="1"/>
    <row r="489" ht="16" customHeight="1"/>
    <row r="490" ht="16" customHeight="1"/>
    <row r="491" ht="16" customHeight="1"/>
    <row r="492" ht="16" customHeight="1"/>
    <row r="493" ht="16" customHeight="1"/>
    <row r="494" ht="16" customHeight="1"/>
    <row r="495" ht="16" customHeight="1"/>
    <row r="496" ht="16" customHeight="1"/>
    <row r="497" ht="16" customHeight="1"/>
    <row r="498" ht="16" customHeight="1"/>
    <row r="499" ht="16" customHeight="1"/>
    <row r="500" ht="16" customHeight="1"/>
    <row r="501" ht="16" customHeight="1"/>
    <row r="502" ht="16" customHeight="1"/>
    <row r="503" ht="16" customHeight="1"/>
    <row r="504" ht="16" customHeight="1"/>
    <row r="505" ht="16" customHeight="1"/>
    <row r="506" ht="16" customHeight="1"/>
    <row r="507" ht="16" customHeight="1"/>
    <row r="508" ht="16" customHeight="1"/>
    <row r="509" ht="16" customHeight="1"/>
    <row r="510" ht="16" customHeight="1"/>
    <row r="511" ht="16" customHeight="1"/>
    <row r="512" ht="16" customHeight="1"/>
    <row r="513" ht="16" customHeight="1"/>
    <row r="514" ht="16" customHeight="1"/>
    <row r="515" ht="16" customHeight="1"/>
    <row r="516" ht="16" customHeight="1"/>
    <row r="517" ht="16" customHeight="1"/>
    <row r="518" ht="16" customHeight="1"/>
    <row r="519" ht="16" customHeight="1"/>
    <row r="520" ht="16" customHeight="1"/>
    <row r="521" ht="16" customHeight="1"/>
    <row r="522" ht="16" customHeight="1"/>
    <row r="523" ht="16" customHeight="1"/>
    <row r="524" ht="16" customHeight="1"/>
    <row r="525" ht="16" customHeight="1"/>
    <row r="526" ht="16" customHeight="1"/>
    <row r="527" ht="16" customHeight="1"/>
    <row r="528" ht="16" customHeight="1"/>
    <row r="529" ht="16" customHeight="1"/>
    <row r="530" ht="16" customHeight="1"/>
    <row r="531" ht="16" customHeight="1"/>
    <row r="532" ht="16" customHeight="1"/>
    <row r="533" ht="16" customHeight="1"/>
    <row r="534" ht="16" customHeight="1"/>
    <row r="535" ht="16" customHeight="1"/>
    <row r="536" ht="16" customHeight="1"/>
    <row r="537" ht="16" customHeight="1"/>
    <row r="538" ht="16" customHeight="1"/>
    <row r="539" ht="16" customHeight="1"/>
    <row r="540" ht="16" customHeight="1"/>
    <row r="541" ht="16" customHeight="1"/>
    <row r="542" ht="16" customHeight="1"/>
    <row r="543" ht="16" customHeight="1"/>
    <row r="544" ht="16" customHeight="1"/>
    <row r="545" ht="16" customHeight="1"/>
    <row r="546" ht="16" customHeight="1"/>
    <row r="547" ht="16" customHeight="1"/>
    <row r="548" ht="16" customHeight="1"/>
    <row r="549" ht="16" customHeight="1"/>
    <row r="550" ht="16" customHeight="1"/>
    <row r="551" ht="16" customHeight="1"/>
    <row r="552" ht="16" customHeight="1"/>
    <row r="553" ht="16" customHeight="1"/>
    <row r="554" ht="16" customHeight="1"/>
    <row r="555" ht="16" customHeight="1"/>
    <row r="556" ht="16" customHeight="1"/>
    <row r="557" ht="16" customHeight="1"/>
    <row r="558" ht="16" customHeight="1"/>
    <row r="559" ht="16" customHeight="1"/>
    <row r="560" ht="16" customHeight="1"/>
    <row r="561" ht="16" customHeight="1"/>
    <row r="562" ht="16" customHeight="1"/>
    <row r="563" ht="16" customHeight="1"/>
    <row r="564" ht="16" customHeight="1"/>
    <row r="565" ht="16" customHeight="1"/>
    <row r="566" ht="16" customHeight="1"/>
    <row r="567" ht="16" customHeight="1"/>
    <row r="568" ht="16" customHeight="1"/>
    <row r="569" ht="16" customHeight="1"/>
    <row r="570" ht="16" customHeight="1"/>
    <row r="571" ht="16" customHeight="1"/>
    <row r="572" ht="16" customHeight="1"/>
    <row r="573" ht="16" customHeight="1"/>
    <row r="574" ht="16" customHeight="1"/>
    <row r="575" ht="16" customHeight="1"/>
    <row r="576" ht="16" customHeight="1"/>
    <row r="577" ht="16" customHeight="1"/>
    <row r="578" ht="16" customHeight="1"/>
    <row r="579" ht="16" customHeight="1"/>
    <row r="580" ht="16" customHeight="1"/>
    <row r="581" ht="16" customHeight="1"/>
    <row r="582" ht="16" customHeight="1"/>
    <row r="583" ht="16" customHeight="1"/>
    <row r="584" ht="16" customHeight="1"/>
    <row r="585" ht="16" customHeight="1"/>
    <row r="586" ht="16" customHeight="1"/>
    <row r="587" ht="16" customHeight="1"/>
    <row r="588" ht="16" customHeight="1"/>
    <row r="589" ht="16" customHeight="1"/>
    <row r="590" ht="16" customHeight="1"/>
    <row r="591" ht="16" customHeight="1"/>
    <row r="592" ht="16" customHeight="1"/>
    <row r="593" ht="16" customHeight="1"/>
    <row r="594" ht="16" customHeight="1"/>
    <row r="595" ht="16" customHeight="1"/>
    <row r="596" ht="16" customHeight="1"/>
    <row r="597" ht="16" customHeight="1"/>
    <row r="598" ht="16" customHeight="1"/>
    <row r="599" ht="16" customHeight="1"/>
    <row r="600" ht="16" customHeight="1"/>
    <row r="601" ht="16" customHeight="1"/>
    <row r="602" ht="16" customHeight="1"/>
    <row r="603" ht="16" customHeight="1"/>
    <row r="604" ht="16" customHeight="1"/>
    <row r="605" ht="16" customHeight="1"/>
    <row r="606" ht="16" customHeight="1"/>
    <row r="607" ht="16" customHeight="1"/>
    <row r="608" ht="16" customHeight="1"/>
    <row r="609" ht="16" customHeight="1"/>
    <row r="610" ht="16" customHeight="1"/>
    <row r="611" ht="16" customHeight="1"/>
    <row r="612" ht="16" customHeight="1"/>
    <row r="613" ht="16" customHeight="1"/>
    <row r="614" ht="16" customHeight="1"/>
    <row r="615" ht="16" customHeight="1"/>
    <row r="616" ht="16" customHeight="1"/>
    <row r="617" ht="16" customHeight="1"/>
    <row r="618" ht="16" customHeight="1"/>
    <row r="619" ht="16" customHeight="1"/>
    <row r="620" ht="16" customHeight="1"/>
    <row r="621" ht="16" customHeight="1"/>
    <row r="622" ht="16" customHeight="1"/>
    <row r="623" ht="16" customHeight="1"/>
    <row r="624" ht="16" customHeight="1"/>
    <row r="625" ht="16" customHeight="1"/>
    <row r="626" ht="16" customHeight="1"/>
    <row r="627" ht="16" customHeight="1"/>
    <row r="628" ht="16" customHeight="1"/>
    <row r="629" ht="16" customHeight="1"/>
    <row r="630" ht="16" customHeight="1"/>
    <row r="631" ht="16" customHeight="1"/>
    <row r="632" ht="16" customHeight="1"/>
    <row r="633" ht="16" customHeight="1"/>
    <row r="634" ht="16" customHeight="1"/>
    <row r="635" ht="16" customHeight="1"/>
    <row r="636" ht="16" customHeight="1"/>
    <row r="637" ht="16" customHeight="1"/>
    <row r="638" ht="16" customHeight="1"/>
    <row r="639" ht="16" customHeight="1"/>
    <row r="640" ht="16" customHeight="1"/>
    <row r="641" ht="16" customHeight="1"/>
    <row r="642" ht="16" customHeight="1"/>
    <row r="643" ht="16" customHeight="1"/>
    <row r="644" ht="16" customHeight="1"/>
    <row r="645" ht="16" customHeight="1"/>
    <row r="646" ht="16" customHeight="1"/>
    <row r="647" ht="16" customHeight="1"/>
    <row r="648" ht="16" customHeight="1"/>
    <row r="649" ht="16" customHeight="1"/>
    <row r="650" ht="16" customHeight="1"/>
    <row r="651" ht="16" customHeight="1"/>
    <row r="652" ht="16" customHeight="1"/>
    <row r="653" ht="16" customHeight="1"/>
    <row r="654" ht="16" customHeight="1"/>
    <row r="655" ht="16" customHeight="1"/>
    <row r="656" ht="16" customHeight="1"/>
    <row r="657" ht="16" customHeight="1"/>
    <row r="658" ht="16" customHeight="1"/>
    <row r="659" ht="16" customHeight="1"/>
    <row r="660" ht="16" customHeight="1"/>
    <row r="661" ht="16" customHeight="1"/>
    <row r="662" ht="16" customHeight="1"/>
    <row r="663" ht="16" customHeight="1"/>
    <row r="664" ht="16" customHeight="1"/>
    <row r="665" ht="16" customHeight="1"/>
    <row r="666" ht="16" customHeight="1"/>
    <row r="667" ht="16" customHeight="1"/>
    <row r="668" ht="16" customHeight="1"/>
    <row r="669" ht="16" customHeight="1"/>
    <row r="670" ht="16" customHeight="1"/>
    <row r="671" ht="16" customHeight="1"/>
    <row r="672" ht="16" customHeight="1"/>
    <row r="673" ht="16" customHeight="1"/>
    <row r="674" ht="16" customHeight="1"/>
    <row r="675" ht="16" customHeight="1"/>
    <row r="676" ht="16" customHeight="1"/>
    <row r="677" ht="16" customHeight="1"/>
    <row r="678" ht="16" customHeight="1"/>
    <row r="679" ht="16" customHeight="1"/>
    <row r="680" ht="16" customHeight="1"/>
    <row r="681" ht="16" customHeight="1"/>
    <row r="682" ht="16" customHeight="1"/>
    <row r="683" ht="16" customHeight="1"/>
    <row r="684" ht="16" customHeight="1"/>
    <row r="685" ht="16" customHeight="1"/>
    <row r="686" ht="16" customHeight="1"/>
    <row r="687" ht="16" customHeight="1"/>
    <row r="688" ht="16" customHeight="1"/>
    <row r="689" ht="16" customHeight="1"/>
    <row r="690" ht="16" customHeight="1"/>
    <row r="691" ht="16" customHeight="1"/>
    <row r="692" ht="16" customHeight="1"/>
    <row r="693" ht="16" customHeight="1"/>
    <row r="694" ht="16" customHeight="1"/>
    <row r="695" ht="16" customHeight="1"/>
    <row r="696" ht="16" customHeight="1"/>
    <row r="697" ht="16" customHeight="1"/>
    <row r="698" ht="16" customHeight="1"/>
    <row r="699" ht="16" customHeight="1"/>
    <row r="700" ht="16" customHeight="1"/>
    <row r="701" ht="16" customHeight="1"/>
    <row r="702" ht="16" customHeight="1"/>
    <row r="703" ht="16" customHeight="1"/>
    <row r="704" ht="16" customHeight="1"/>
    <row r="705" ht="16" customHeight="1"/>
    <row r="706" ht="16" customHeight="1"/>
    <row r="707" ht="16" customHeight="1"/>
    <row r="708" ht="16" customHeight="1"/>
    <row r="709" ht="16" customHeight="1"/>
    <row r="710" ht="16" customHeight="1"/>
    <row r="711" ht="16" customHeight="1"/>
    <row r="712" ht="16" customHeight="1"/>
    <row r="713" ht="16" customHeight="1"/>
    <row r="714" ht="16" customHeight="1"/>
    <row r="715" ht="16" customHeight="1"/>
    <row r="716" ht="16" customHeight="1"/>
    <row r="717" ht="16" customHeight="1"/>
    <row r="718" ht="16" customHeight="1"/>
    <row r="719" ht="16" customHeight="1"/>
    <row r="720" ht="16" customHeight="1"/>
    <row r="721" ht="16" customHeight="1"/>
    <row r="722" ht="16" customHeight="1"/>
    <row r="723" ht="16" customHeight="1"/>
    <row r="724" ht="16" customHeight="1"/>
    <row r="725" ht="16" customHeight="1"/>
    <row r="726" ht="16" customHeight="1"/>
    <row r="727" ht="16" customHeight="1"/>
    <row r="728" ht="16" customHeight="1"/>
    <row r="729" ht="16" customHeight="1"/>
    <row r="730" ht="16" customHeight="1"/>
    <row r="731" ht="16" customHeight="1"/>
    <row r="732" ht="16" customHeight="1"/>
    <row r="733" ht="16" customHeight="1"/>
    <row r="734" ht="16" customHeight="1"/>
    <row r="735" ht="16" customHeight="1"/>
    <row r="736" ht="16" customHeight="1"/>
    <row r="737" ht="16" customHeight="1"/>
    <row r="738" ht="16" customHeight="1"/>
    <row r="739" ht="16" customHeight="1"/>
    <row r="740" ht="16" customHeight="1"/>
    <row r="741" ht="16" customHeight="1"/>
    <row r="742" ht="16" customHeight="1"/>
    <row r="743" ht="16" customHeight="1"/>
    <row r="744" ht="16" customHeight="1"/>
    <row r="745" ht="16" customHeight="1"/>
    <row r="746" ht="16" customHeight="1"/>
    <row r="747" ht="16" customHeight="1"/>
    <row r="748" ht="16" customHeight="1"/>
    <row r="749" ht="16" customHeight="1"/>
    <row r="750" ht="16" customHeight="1"/>
    <row r="751" ht="16" customHeight="1"/>
    <row r="752" ht="16" customHeight="1"/>
    <row r="753" ht="16" customHeight="1"/>
    <row r="754" ht="16" customHeight="1"/>
    <row r="755" ht="16" customHeight="1"/>
    <row r="756" ht="16" customHeight="1"/>
    <row r="757" ht="16" customHeight="1"/>
    <row r="758" ht="16" customHeight="1"/>
    <row r="759" ht="16" customHeight="1"/>
    <row r="760" ht="16" customHeight="1"/>
    <row r="761" ht="16" customHeight="1"/>
    <row r="762" ht="16" customHeight="1"/>
    <row r="763" ht="16" customHeight="1"/>
    <row r="764" ht="16" customHeight="1"/>
    <row r="765" ht="16" customHeight="1"/>
    <row r="766" ht="16" customHeight="1"/>
    <row r="767" ht="16" customHeight="1"/>
    <row r="768" ht="16" customHeight="1"/>
    <row r="769" ht="16" customHeight="1"/>
    <row r="770" ht="16" customHeight="1"/>
    <row r="771" ht="16" customHeight="1"/>
    <row r="772" ht="16" customHeight="1"/>
    <row r="773" ht="16" customHeight="1"/>
    <row r="774" ht="16" customHeight="1"/>
    <row r="775" ht="16" customHeight="1"/>
    <row r="776" ht="16" customHeight="1"/>
    <row r="777" ht="16" customHeight="1"/>
    <row r="778" ht="16" customHeight="1"/>
    <row r="779" ht="16" customHeight="1"/>
    <row r="780" ht="16" customHeight="1"/>
    <row r="781" ht="16" customHeight="1"/>
    <row r="782" ht="16" customHeight="1"/>
    <row r="783" ht="16" customHeight="1"/>
    <row r="784" ht="16" customHeight="1"/>
    <row r="785" ht="16" customHeight="1"/>
    <row r="786" ht="16" customHeight="1"/>
    <row r="787" ht="16" customHeight="1"/>
    <row r="788" ht="16" customHeight="1"/>
    <row r="789" ht="16" customHeight="1"/>
    <row r="790" ht="16" customHeight="1"/>
    <row r="791" ht="16" customHeight="1"/>
    <row r="792" ht="16" customHeight="1"/>
    <row r="793" ht="16" customHeight="1"/>
    <row r="794" ht="16" customHeight="1"/>
    <row r="795" ht="16" customHeight="1"/>
    <row r="796" ht="16" customHeight="1"/>
    <row r="797" ht="16" customHeight="1"/>
    <row r="798" ht="16" customHeight="1"/>
    <row r="799" ht="16" customHeight="1"/>
    <row r="800" ht="16" customHeight="1"/>
    <row r="801" ht="16" customHeight="1"/>
    <row r="802" ht="16" customHeight="1"/>
    <row r="803" ht="16" customHeight="1"/>
    <row r="804" ht="16" customHeight="1"/>
    <row r="805" ht="16" customHeight="1"/>
    <row r="806" ht="16" customHeight="1"/>
    <row r="807" ht="16" customHeight="1"/>
    <row r="808" ht="16" customHeight="1"/>
    <row r="809" ht="16" customHeight="1"/>
    <row r="810" ht="16" customHeight="1"/>
    <row r="811" ht="16" customHeight="1"/>
    <row r="812" ht="16" customHeight="1"/>
    <row r="813" ht="16" customHeight="1"/>
    <row r="814" ht="16" customHeight="1"/>
    <row r="815" ht="16" customHeight="1"/>
    <row r="816" ht="16" customHeight="1"/>
    <row r="817" ht="16" customHeight="1"/>
    <row r="818" ht="16" customHeight="1"/>
    <row r="819" ht="16" customHeight="1"/>
    <row r="820" ht="16" customHeight="1"/>
    <row r="821" ht="16" customHeight="1"/>
    <row r="822" ht="16" customHeight="1"/>
    <row r="823" ht="16" customHeight="1"/>
    <row r="824" ht="16" customHeight="1"/>
    <row r="825" ht="16" customHeight="1"/>
    <row r="826" ht="16" customHeight="1"/>
    <row r="827" ht="16" customHeight="1"/>
    <row r="828" ht="16" customHeight="1"/>
    <row r="829" ht="16" customHeight="1"/>
    <row r="830" ht="16" customHeight="1"/>
    <row r="831" ht="16" customHeight="1"/>
    <row r="832" ht="16" customHeight="1"/>
    <row r="833" ht="16" customHeight="1"/>
    <row r="834" ht="16" customHeight="1"/>
    <row r="835" ht="16" customHeight="1"/>
    <row r="836" ht="16" customHeight="1"/>
    <row r="837" ht="16" customHeight="1"/>
    <row r="838" ht="16" customHeight="1"/>
    <row r="839" ht="16" customHeight="1"/>
    <row r="840" ht="16" customHeight="1"/>
    <row r="841" ht="16" customHeight="1"/>
    <row r="842" ht="16" customHeight="1"/>
    <row r="843" ht="16" customHeight="1"/>
    <row r="844" ht="16" customHeight="1"/>
    <row r="845" ht="16" customHeight="1"/>
    <row r="846" ht="16" customHeight="1"/>
    <row r="847" ht="16" customHeight="1"/>
    <row r="848" ht="16" customHeight="1"/>
    <row r="849" ht="16" customHeight="1"/>
    <row r="850" ht="16" customHeight="1"/>
    <row r="851" ht="16" customHeight="1"/>
    <row r="852" ht="16" customHeight="1"/>
    <row r="853" ht="16" customHeight="1"/>
    <row r="854" ht="16" customHeight="1"/>
    <row r="855" ht="16" customHeight="1"/>
    <row r="856" ht="16" customHeight="1"/>
    <row r="857" ht="16" customHeight="1"/>
    <row r="858" ht="16" customHeight="1"/>
    <row r="859" ht="16" customHeight="1"/>
    <row r="860" ht="16" customHeight="1"/>
    <row r="861" ht="16" customHeight="1"/>
    <row r="862" ht="16" customHeight="1"/>
    <row r="863" ht="16" customHeight="1"/>
    <row r="864" ht="16" customHeight="1"/>
    <row r="865" ht="16" customHeight="1"/>
    <row r="866" ht="16" customHeight="1"/>
    <row r="867" ht="16" customHeight="1"/>
    <row r="868" ht="16" customHeight="1"/>
    <row r="869" ht="16" customHeight="1"/>
    <row r="870" ht="16" customHeight="1"/>
    <row r="871" ht="16" customHeight="1"/>
    <row r="872" ht="16" customHeight="1"/>
    <row r="873" ht="16" customHeight="1"/>
    <row r="874" ht="16" customHeight="1"/>
    <row r="875" ht="16" customHeight="1"/>
    <row r="876" ht="16" customHeight="1"/>
    <row r="877" ht="16" customHeight="1"/>
    <row r="878" ht="16" customHeight="1"/>
    <row r="879" ht="16" customHeight="1"/>
    <row r="880" ht="16" customHeight="1"/>
    <row r="881" ht="16" customHeight="1"/>
    <row r="882" ht="16" customHeight="1"/>
    <row r="883" ht="16" customHeight="1"/>
    <row r="884" ht="16" customHeight="1"/>
    <row r="885" ht="16" customHeight="1"/>
    <row r="886" ht="16" customHeight="1"/>
    <row r="887" ht="16" customHeight="1"/>
    <row r="888" ht="16" customHeight="1"/>
    <row r="889" ht="16" customHeight="1"/>
    <row r="890" ht="16" customHeight="1"/>
    <row r="891" ht="16" customHeight="1"/>
    <row r="892" ht="16" customHeight="1"/>
    <row r="893" ht="16" customHeight="1"/>
    <row r="894" ht="16" customHeight="1"/>
    <row r="895" ht="16" customHeight="1"/>
    <row r="896" ht="16" customHeight="1"/>
    <row r="897" ht="16" customHeight="1"/>
    <row r="898" ht="16" customHeight="1"/>
    <row r="899" ht="16" customHeight="1"/>
    <row r="900" ht="16" customHeight="1"/>
    <row r="901" ht="16" customHeight="1"/>
    <row r="902" ht="16" customHeight="1"/>
    <row r="903" ht="16" customHeight="1"/>
    <row r="904" ht="16" customHeight="1"/>
    <row r="905" ht="16" customHeight="1"/>
    <row r="906" ht="16" customHeight="1"/>
    <row r="907" ht="16" customHeight="1"/>
    <row r="908" ht="16" customHeight="1"/>
    <row r="909" ht="16" customHeight="1"/>
    <row r="910" ht="16" customHeight="1"/>
    <row r="911" ht="16" customHeight="1"/>
    <row r="912" ht="16" customHeight="1"/>
    <row r="913" ht="16" customHeight="1"/>
    <row r="914" ht="16" customHeight="1"/>
    <row r="915" ht="16" customHeight="1"/>
    <row r="916" ht="16" customHeight="1"/>
    <row r="917" ht="16" customHeight="1"/>
    <row r="918" ht="16" customHeight="1"/>
    <row r="919" ht="16" customHeight="1"/>
    <row r="920" ht="16" customHeight="1"/>
    <row r="921" ht="16" customHeight="1"/>
    <row r="922" ht="16" customHeight="1"/>
    <row r="923" ht="16" customHeight="1"/>
    <row r="924" ht="16" customHeight="1"/>
    <row r="925" ht="16" customHeight="1"/>
    <row r="926" ht="16" customHeight="1"/>
    <row r="927" ht="16" customHeight="1"/>
    <row r="928" ht="16" customHeight="1"/>
    <row r="929" ht="16" customHeight="1"/>
    <row r="930" ht="16" customHeight="1"/>
    <row r="931" ht="16" customHeight="1"/>
    <row r="932" ht="16" customHeight="1"/>
    <row r="933" ht="16" customHeight="1"/>
    <row r="934" ht="16" customHeight="1"/>
    <row r="935" ht="16" customHeight="1"/>
    <row r="936" ht="16" customHeight="1"/>
    <row r="937" ht="16" customHeight="1"/>
    <row r="938" ht="16" customHeight="1"/>
    <row r="939" ht="16" customHeight="1"/>
    <row r="940" ht="16" customHeight="1"/>
    <row r="941" ht="16" customHeight="1"/>
    <row r="942" ht="16" customHeight="1"/>
    <row r="943" ht="16" customHeight="1"/>
    <row r="944" ht="16" customHeight="1"/>
    <row r="945" ht="16" customHeight="1"/>
    <row r="946" ht="16" customHeight="1"/>
    <row r="947" ht="16" customHeight="1"/>
    <row r="948" ht="16" customHeight="1"/>
    <row r="949" ht="16" customHeight="1"/>
    <row r="950" ht="16" customHeight="1"/>
    <row r="951" ht="16" customHeight="1"/>
    <row r="952" ht="16" customHeight="1"/>
    <row r="953" ht="16" customHeight="1"/>
    <row r="954" ht="16" customHeight="1"/>
    <row r="955" ht="16" customHeight="1"/>
    <row r="956" ht="16" customHeight="1"/>
    <row r="957" ht="16" customHeight="1"/>
    <row r="958" ht="16" customHeight="1"/>
    <row r="959" ht="16" customHeight="1"/>
    <row r="960" ht="16" customHeight="1"/>
    <row r="961" ht="16" customHeight="1"/>
    <row r="962" ht="16" customHeight="1"/>
    <row r="963" ht="16" customHeight="1"/>
    <row r="964" ht="16" customHeight="1"/>
    <row r="965" ht="16" customHeight="1"/>
    <row r="966" ht="16" customHeight="1"/>
    <row r="967" ht="16" customHeight="1"/>
    <row r="968" ht="16" customHeight="1"/>
    <row r="969" ht="16" customHeight="1"/>
    <row r="970" ht="16" customHeight="1"/>
    <row r="971" ht="16" customHeight="1"/>
    <row r="972" ht="16" customHeight="1"/>
    <row r="973" ht="16" customHeight="1"/>
    <row r="974" ht="16" customHeight="1"/>
    <row r="975" ht="16" customHeight="1"/>
    <row r="976" ht="16" customHeight="1"/>
    <row r="977" ht="16" customHeight="1"/>
    <row r="978" ht="16" customHeight="1"/>
    <row r="979" ht="16" customHeight="1"/>
    <row r="980" ht="16" customHeight="1"/>
    <row r="981" ht="16" customHeight="1"/>
    <row r="982" ht="16" customHeight="1"/>
    <row r="983" ht="16" customHeight="1"/>
    <row r="984" ht="16" customHeight="1"/>
    <row r="985" ht="16" customHeight="1"/>
    <row r="986" ht="16" customHeight="1"/>
    <row r="987" ht="16" customHeight="1"/>
    <row r="988" ht="16" customHeight="1"/>
    <row r="989" ht="16" customHeight="1"/>
    <row r="990" ht="16" customHeight="1"/>
    <row r="991" ht="16" customHeight="1"/>
    <row r="992" ht="16" customHeight="1"/>
    <row r="993" ht="16" customHeight="1"/>
    <row r="994" ht="16" customHeight="1"/>
    <row r="995" ht="16" customHeight="1"/>
    <row r="996" ht="16" customHeight="1"/>
    <row r="997" ht="16" customHeight="1"/>
    <row r="998" ht="16" customHeight="1"/>
    <row r="999" ht="16" customHeight="1"/>
    <row r="1000" ht="16" customHeight="1"/>
    <row r="1001" ht="16" customHeight="1"/>
    <row r="1002" ht="16" customHeight="1"/>
    <row r="1003" ht="16" customHeight="1"/>
    <row r="1004" ht="16" customHeight="1"/>
    <row r="1005" ht="16" customHeight="1"/>
    <row r="1006" ht="16" customHeight="1"/>
    <row r="1007" ht="16" customHeight="1"/>
    <row r="1008" ht="16" customHeight="1"/>
    <row r="1009" ht="16" customHeight="1"/>
    <row r="1010" ht="16" customHeight="1"/>
    <row r="1011" ht="16" customHeight="1"/>
    <row r="1012" ht="16" customHeight="1"/>
    <row r="1013" ht="16" customHeight="1"/>
    <row r="1014" ht="16" customHeight="1"/>
    <row r="1015" ht="16" customHeight="1"/>
    <row r="1016" ht="16" customHeight="1"/>
    <row r="1017" ht="16" customHeight="1"/>
    <row r="1018" ht="16" customHeight="1"/>
    <row r="1019" ht="16" customHeight="1"/>
    <row r="1020" ht="16" customHeight="1"/>
    <row r="1021" ht="16" customHeight="1"/>
    <row r="1022" ht="16" customHeight="1"/>
    <row r="1023" ht="16" customHeight="1"/>
    <row r="1024" ht="16" customHeight="1"/>
    <row r="1025" ht="16" customHeight="1"/>
    <row r="1026" ht="16" customHeight="1"/>
    <row r="1027" ht="16" customHeight="1"/>
    <row r="1028" ht="16" customHeight="1"/>
    <row r="1029" ht="16" customHeight="1"/>
    <row r="1030" ht="16" customHeight="1"/>
    <row r="1031" ht="16" customHeight="1"/>
    <row r="1032" ht="16" customHeight="1"/>
    <row r="1033" ht="16" customHeight="1"/>
    <row r="1034" ht="16" customHeight="1"/>
    <row r="1035" ht="16" customHeight="1"/>
    <row r="1036" ht="16" customHeight="1"/>
    <row r="1037" ht="16" customHeight="1"/>
    <row r="1038" ht="16" customHeight="1"/>
    <row r="1039" ht="16" customHeight="1"/>
    <row r="1040" ht="16" customHeight="1"/>
    <row r="1041" ht="16" customHeight="1"/>
    <row r="1042" ht="16" customHeight="1"/>
    <row r="1043" ht="16" customHeight="1"/>
    <row r="1044" ht="16" customHeight="1"/>
    <row r="1045" ht="16" customHeight="1"/>
    <row r="1046" ht="16" customHeight="1"/>
    <row r="1047" ht="16" customHeight="1"/>
    <row r="1048" ht="16" customHeight="1"/>
    <row r="1049" ht="16" customHeight="1"/>
    <row r="1050" ht="16" customHeight="1"/>
    <row r="1051" ht="16" customHeight="1"/>
    <row r="1052" ht="16" customHeight="1"/>
    <row r="1053" ht="16" customHeight="1"/>
    <row r="1054" ht="16" customHeight="1"/>
    <row r="1055" ht="16" customHeight="1"/>
    <row r="1056" ht="16" customHeight="1"/>
    <row r="1057" ht="16" customHeight="1"/>
    <row r="1058" ht="16" customHeight="1"/>
    <row r="1059" ht="16" customHeight="1"/>
    <row r="1060" ht="16" customHeight="1"/>
    <row r="1061" ht="16" customHeight="1"/>
    <row r="1062" ht="16" customHeight="1"/>
    <row r="1063" ht="16" customHeight="1"/>
    <row r="1064" ht="16" customHeight="1"/>
    <row r="1065" ht="16" customHeight="1"/>
    <row r="1066" ht="16" customHeight="1"/>
    <row r="1067" ht="16" customHeight="1"/>
    <row r="1068" ht="16" customHeight="1"/>
    <row r="1069" ht="16" customHeight="1"/>
    <row r="1070" ht="16" customHeight="1"/>
    <row r="1071" ht="16" customHeight="1"/>
    <row r="1072" ht="16" customHeight="1"/>
    <row r="1073" ht="16" customHeight="1"/>
    <row r="1074" ht="16" customHeight="1"/>
    <row r="1075" ht="16" customHeight="1"/>
    <row r="1076" ht="16" customHeight="1"/>
    <row r="1077" ht="16" customHeight="1"/>
    <row r="1078" ht="16" customHeight="1"/>
    <row r="1079" ht="16" customHeight="1"/>
    <row r="1080" ht="16" customHeight="1"/>
    <row r="1081" ht="16" customHeight="1"/>
    <row r="1082" ht="16" customHeight="1"/>
    <row r="1083" ht="16" customHeight="1"/>
    <row r="1084" ht="16" customHeight="1"/>
    <row r="1085" ht="16" customHeight="1"/>
    <row r="1086" ht="16" customHeight="1"/>
    <row r="1087" ht="16" customHeight="1"/>
    <row r="1088" ht="16" customHeight="1"/>
    <row r="1089" ht="16" customHeight="1"/>
    <row r="1090" ht="16" customHeight="1"/>
    <row r="1091" ht="16" customHeight="1"/>
    <row r="1092" ht="16" customHeight="1"/>
    <row r="1093" ht="16" customHeight="1"/>
    <row r="1094" ht="16" customHeight="1"/>
    <row r="1095" ht="16" customHeight="1"/>
    <row r="1096" ht="16" customHeight="1"/>
    <row r="1097" ht="16" customHeight="1"/>
    <row r="1098" ht="16" customHeight="1"/>
    <row r="1099" ht="16" customHeight="1"/>
    <row r="1100" ht="16" customHeight="1"/>
    <row r="1101" ht="16" customHeight="1"/>
    <row r="1102" ht="16" customHeight="1"/>
    <row r="1103" ht="16" customHeight="1"/>
    <row r="1104" ht="16" customHeight="1"/>
    <row r="1105" ht="16" customHeight="1"/>
    <row r="1106" ht="16" customHeight="1"/>
    <row r="1107" ht="16" customHeight="1"/>
    <row r="1108" ht="16" customHeight="1"/>
    <row r="1109" ht="16" customHeight="1"/>
    <row r="1110" ht="16" customHeight="1"/>
    <row r="1111" ht="16" customHeight="1"/>
    <row r="1112" ht="16" customHeight="1"/>
    <row r="1113" ht="16" customHeight="1"/>
    <row r="1114" ht="16" customHeight="1"/>
    <row r="1115" ht="16" customHeight="1"/>
    <row r="1116" ht="16" customHeight="1"/>
    <row r="1117" ht="16" customHeight="1"/>
    <row r="1118" ht="16" customHeight="1"/>
    <row r="1119" ht="16" customHeight="1"/>
    <row r="1120" ht="16" customHeight="1"/>
    <row r="1121" ht="16" customHeight="1"/>
    <row r="1122" ht="16" customHeight="1"/>
    <row r="1123" ht="16" customHeight="1"/>
    <row r="1124" ht="16" customHeight="1"/>
    <row r="1125" ht="16" customHeight="1"/>
    <row r="1126" ht="16" customHeight="1"/>
    <row r="1127" ht="16" customHeight="1"/>
    <row r="1128" ht="16" customHeight="1"/>
    <row r="1129" ht="16" customHeight="1"/>
    <row r="1130" ht="16" customHeight="1"/>
    <row r="1131" ht="16" customHeight="1"/>
    <row r="1132" ht="16" customHeight="1"/>
    <row r="1133" ht="16" customHeight="1"/>
    <row r="1134" ht="16" customHeight="1"/>
    <row r="1135" ht="16" customHeight="1"/>
    <row r="1136" ht="16" customHeight="1"/>
    <row r="1137" ht="16" customHeight="1"/>
    <row r="1138" ht="16" customHeight="1"/>
    <row r="1139" ht="16" customHeight="1"/>
    <row r="1140" ht="16" customHeight="1"/>
    <row r="1141" ht="16" customHeight="1"/>
    <row r="1142" ht="16" customHeight="1"/>
    <row r="1143" ht="16" customHeight="1"/>
    <row r="1144" ht="16" customHeight="1"/>
    <row r="1145" ht="16" customHeight="1"/>
    <row r="1146" ht="16" customHeight="1"/>
    <row r="1147" ht="16" customHeight="1"/>
    <row r="1148" ht="16" customHeight="1"/>
    <row r="1149" ht="16" customHeight="1"/>
    <row r="1150" ht="16" customHeight="1"/>
    <row r="1151" ht="16" customHeight="1"/>
    <row r="1152" ht="16" customHeight="1"/>
    <row r="1153" ht="16" customHeight="1"/>
    <row r="1154" ht="16" customHeight="1"/>
    <row r="1155" ht="16" customHeight="1"/>
    <row r="1156" ht="16" customHeight="1"/>
    <row r="1157" ht="16" customHeight="1"/>
    <row r="1158" ht="16" customHeight="1"/>
    <row r="1159" ht="16" customHeight="1"/>
    <row r="1160" ht="16" customHeight="1"/>
    <row r="1161" ht="16" customHeight="1"/>
    <row r="1162" ht="16" customHeight="1"/>
    <row r="1163" ht="16" customHeight="1"/>
    <row r="1164" ht="16" customHeight="1"/>
    <row r="1165" ht="16" customHeight="1"/>
    <row r="1166" ht="16" customHeight="1"/>
    <row r="1167" ht="16" customHeight="1"/>
    <row r="1168" ht="16" customHeight="1"/>
    <row r="1169" ht="16" customHeight="1"/>
    <row r="1170" ht="16" customHeight="1"/>
    <row r="1171" ht="16" customHeight="1"/>
    <row r="1172" ht="16" customHeight="1"/>
    <row r="1173" ht="16" customHeight="1"/>
    <row r="1174" ht="16" customHeight="1"/>
    <row r="1175" ht="16" customHeight="1"/>
    <row r="1176" ht="16" customHeight="1"/>
    <row r="1177" ht="16" customHeight="1"/>
    <row r="1178" ht="16" customHeight="1"/>
    <row r="1179" ht="16" customHeight="1"/>
    <row r="1180" ht="16" customHeight="1"/>
    <row r="1181" ht="16" customHeight="1"/>
    <row r="1182" ht="16" customHeight="1"/>
    <row r="1183" ht="16" customHeight="1"/>
    <row r="1184" ht="16" customHeight="1"/>
    <row r="1185" ht="16" customHeight="1"/>
    <row r="1186" ht="16" customHeight="1"/>
    <row r="1187" ht="16" customHeight="1"/>
    <row r="1188" ht="16" customHeight="1"/>
    <row r="1189" ht="16" customHeight="1"/>
    <row r="1190" ht="16" customHeight="1"/>
    <row r="1191" ht="16" customHeight="1"/>
    <row r="1192" ht="16" customHeight="1"/>
    <row r="1193" ht="16" customHeight="1"/>
    <row r="1194" ht="16" customHeight="1"/>
    <row r="1195" ht="16" customHeight="1"/>
    <row r="1196" ht="16" customHeight="1"/>
    <row r="1197" ht="16" customHeight="1"/>
    <row r="1198" ht="16" customHeight="1"/>
    <row r="1199" ht="16" customHeight="1"/>
    <row r="1200" ht="16" customHeight="1"/>
    <row r="1201" ht="16" customHeight="1"/>
    <row r="1202" ht="16" customHeight="1"/>
    <row r="1203" ht="16" customHeight="1"/>
    <row r="1204" ht="16" customHeight="1"/>
    <row r="1205" ht="16" customHeight="1"/>
    <row r="1206" ht="16" customHeight="1"/>
    <row r="1207" ht="16" customHeight="1"/>
    <row r="1208" ht="16" customHeight="1"/>
    <row r="1209" ht="16" customHeight="1"/>
    <row r="1210" ht="16" customHeight="1"/>
    <row r="1211" ht="16" customHeight="1"/>
    <row r="1212" ht="16" customHeight="1"/>
    <row r="1213" ht="16" customHeight="1"/>
    <row r="1214" ht="16" customHeight="1"/>
    <row r="1215" ht="16" customHeight="1"/>
    <row r="1216" ht="16" customHeight="1"/>
    <row r="1217" ht="16" customHeight="1"/>
    <row r="1218" ht="16" customHeight="1"/>
    <row r="1219" ht="16" customHeight="1"/>
    <row r="1220" ht="16" customHeight="1"/>
    <row r="1221" ht="16" customHeight="1"/>
    <row r="1222" ht="16" customHeight="1"/>
    <row r="1223" ht="16" customHeight="1"/>
    <row r="1224" ht="16" customHeight="1"/>
    <row r="1225" ht="16" customHeight="1"/>
    <row r="1226" ht="16" customHeight="1"/>
    <row r="1227" ht="16" customHeight="1"/>
    <row r="1228" ht="16" customHeight="1"/>
    <row r="1229" ht="16" customHeight="1"/>
    <row r="1230" ht="16" customHeight="1"/>
    <row r="1231" ht="16" customHeight="1"/>
    <row r="1232" ht="16" customHeight="1"/>
    <row r="1233" ht="16" customHeight="1"/>
    <row r="1234" ht="16" customHeight="1"/>
    <row r="1235" ht="16" customHeight="1"/>
    <row r="1236" ht="16" customHeight="1"/>
    <row r="1237" ht="16" customHeight="1"/>
    <row r="1238" ht="16" customHeight="1"/>
    <row r="1239" ht="16" customHeight="1"/>
    <row r="1240" ht="16" customHeight="1"/>
    <row r="1241" ht="16" customHeight="1"/>
    <row r="1242" ht="16" customHeight="1"/>
    <row r="1243" ht="16" customHeight="1"/>
    <row r="1244" ht="16" customHeight="1"/>
    <row r="1245" ht="16" customHeight="1"/>
    <row r="1246" ht="16" customHeight="1"/>
    <row r="1247" ht="16" customHeight="1"/>
    <row r="1248" ht="16" customHeight="1"/>
    <row r="1249" ht="16" customHeight="1"/>
    <row r="1250" ht="16" customHeight="1"/>
    <row r="1251" ht="16" customHeight="1"/>
    <row r="1252" ht="16" customHeight="1"/>
    <row r="1253" ht="16" customHeight="1"/>
    <row r="1254" ht="16" customHeight="1"/>
    <row r="1255" ht="16" customHeight="1"/>
    <row r="1256" ht="16" customHeight="1"/>
    <row r="1257" ht="16" customHeight="1"/>
    <row r="1258" ht="16" customHeight="1"/>
    <row r="1259" ht="16" customHeight="1"/>
    <row r="1260" ht="16" customHeight="1"/>
    <row r="1261" ht="16" customHeight="1"/>
    <row r="1262" ht="16" customHeight="1"/>
    <row r="1263" ht="16" customHeight="1"/>
    <row r="1264" ht="16" customHeight="1"/>
    <row r="1265" ht="16" customHeight="1"/>
    <row r="1266" ht="16" customHeight="1"/>
    <row r="1267" ht="16" customHeight="1"/>
    <row r="1268" ht="16" customHeight="1"/>
    <row r="1269" ht="16" customHeight="1"/>
    <row r="1270" ht="16" customHeight="1"/>
    <row r="1271" ht="16" customHeight="1"/>
    <row r="1272" ht="16" customHeight="1"/>
    <row r="1273" ht="16" customHeight="1"/>
    <row r="1274" ht="16" customHeight="1"/>
    <row r="1275" ht="16" customHeight="1"/>
    <row r="1276" ht="16" customHeight="1"/>
    <row r="1277" ht="16" customHeight="1"/>
    <row r="1278" ht="16" customHeight="1"/>
    <row r="1279" ht="16" customHeight="1"/>
    <row r="1280" ht="16" customHeight="1"/>
    <row r="1281" ht="16" customHeight="1"/>
    <row r="1282" ht="16" customHeight="1"/>
    <row r="1283" ht="16" customHeight="1"/>
    <row r="1284" ht="16" customHeight="1"/>
    <row r="1285" ht="16" customHeight="1"/>
    <row r="1286" ht="16" customHeight="1"/>
    <row r="1287" ht="16" customHeight="1"/>
    <row r="1288" ht="16" customHeight="1"/>
    <row r="1289" ht="16" customHeight="1"/>
    <row r="1290" ht="16" customHeight="1"/>
    <row r="1291" ht="16" customHeight="1"/>
    <row r="1292" ht="16" customHeight="1"/>
    <row r="1293" ht="16" customHeight="1"/>
    <row r="1294" ht="16" customHeight="1"/>
    <row r="1295" ht="16" customHeight="1"/>
    <row r="1296" ht="16" customHeight="1"/>
    <row r="1297" ht="16" customHeight="1"/>
    <row r="1298" ht="16" customHeight="1"/>
    <row r="1299" ht="16" customHeight="1"/>
    <row r="1300" ht="16" customHeight="1"/>
    <row r="1301" ht="16" customHeight="1"/>
    <row r="1302" ht="16" customHeight="1"/>
    <row r="1303" ht="16" customHeight="1"/>
    <row r="1304" ht="16" customHeight="1"/>
    <row r="1305" ht="16" customHeight="1"/>
    <row r="1306" ht="16" customHeight="1"/>
    <row r="1307" ht="16" customHeight="1"/>
    <row r="1308" ht="16" customHeight="1"/>
    <row r="1309" ht="16" customHeight="1"/>
    <row r="1310" ht="16" customHeight="1"/>
    <row r="1311" ht="16" customHeight="1"/>
    <row r="1312" ht="16" customHeight="1"/>
    <row r="1313" ht="16" customHeight="1"/>
    <row r="1314" ht="16" customHeight="1"/>
    <row r="1315" ht="16" customHeight="1"/>
    <row r="1316" ht="16" customHeight="1"/>
    <row r="1317" ht="16" customHeight="1"/>
    <row r="1318" ht="16" customHeight="1"/>
    <row r="1319" ht="16" customHeight="1"/>
    <row r="1320" ht="16" customHeight="1"/>
    <row r="1321" ht="16" customHeight="1"/>
    <row r="1322" ht="16" customHeight="1"/>
    <row r="1323" ht="16" customHeight="1"/>
    <row r="1324" ht="16" customHeight="1"/>
    <row r="1325" ht="16" customHeight="1"/>
    <row r="1326" ht="16" customHeight="1"/>
    <row r="1327" ht="16" customHeight="1"/>
    <row r="1328" ht="16" customHeight="1"/>
    <row r="1329" ht="16" customHeight="1"/>
    <row r="1330" ht="16" customHeight="1"/>
    <row r="1331" ht="16" customHeight="1"/>
    <row r="1332" ht="16" customHeight="1"/>
    <row r="1333" ht="16" customHeight="1"/>
    <row r="1334" ht="16" customHeight="1"/>
    <row r="1335" ht="16" customHeight="1"/>
    <row r="1336" ht="16" customHeight="1"/>
    <row r="1337" ht="16" customHeight="1"/>
    <row r="1338" ht="16" customHeight="1"/>
    <row r="1339" ht="16" customHeight="1"/>
    <row r="1340" ht="16" customHeight="1"/>
    <row r="1341" ht="16" customHeight="1"/>
    <row r="1342" ht="16" customHeight="1"/>
    <row r="1343" ht="16" customHeight="1"/>
    <row r="1344" ht="16" customHeight="1"/>
    <row r="1345" ht="16" customHeight="1"/>
    <row r="1346" ht="16" customHeight="1"/>
    <row r="1347" ht="16" customHeight="1"/>
    <row r="1348" ht="16" customHeight="1"/>
    <row r="1349" ht="16" customHeight="1"/>
    <row r="1350" ht="16" customHeight="1"/>
    <row r="1351" ht="16" customHeight="1"/>
    <row r="1352" ht="16" customHeight="1"/>
    <row r="1353" ht="16" customHeight="1"/>
    <row r="1354" ht="16" customHeight="1"/>
    <row r="1355" ht="16" customHeight="1"/>
    <row r="1356" ht="16" customHeight="1"/>
    <row r="1357" ht="16" customHeight="1"/>
    <row r="1358" ht="16" customHeight="1"/>
    <row r="1359" ht="16" customHeight="1"/>
    <row r="1360" ht="16" customHeight="1"/>
    <row r="1361" ht="16" customHeight="1"/>
    <row r="1362" ht="16" customHeight="1"/>
    <row r="1363" ht="16" customHeight="1"/>
    <row r="1364" ht="16" customHeight="1"/>
    <row r="1365" ht="16" customHeight="1"/>
    <row r="1366" ht="16" customHeight="1"/>
    <row r="1367" ht="16" customHeight="1"/>
    <row r="1368" ht="16" customHeight="1"/>
    <row r="1369" ht="16" customHeight="1"/>
    <row r="1370" ht="16" customHeight="1"/>
    <row r="1371" ht="16" customHeight="1"/>
    <row r="1372" ht="16" customHeight="1"/>
    <row r="1373" ht="16" customHeight="1"/>
    <row r="1374" ht="16" customHeight="1"/>
    <row r="1375" ht="16" customHeight="1"/>
    <row r="1376" ht="16" customHeight="1"/>
    <row r="1377" ht="16" customHeight="1"/>
    <row r="1378" ht="16" customHeight="1"/>
    <row r="1379" ht="16" customHeight="1"/>
    <row r="1380" ht="16" customHeight="1"/>
    <row r="1381" ht="16" customHeight="1"/>
    <row r="1382" ht="16" customHeight="1"/>
    <row r="1383" ht="16" customHeight="1"/>
    <row r="1384" ht="16" customHeight="1"/>
    <row r="1385" ht="16" customHeight="1"/>
    <row r="1386" ht="16" customHeight="1"/>
    <row r="1387" ht="16" customHeight="1"/>
    <row r="1388" ht="16" customHeight="1"/>
    <row r="1389" ht="16" customHeight="1"/>
    <row r="1390" ht="16" customHeight="1"/>
    <row r="1391" ht="16" customHeight="1"/>
    <row r="1392" ht="16" customHeight="1"/>
    <row r="1393" ht="16" customHeight="1"/>
    <row r="1394" ht="16" customHeight="1"/>
    <row r="1395" ht="16" customHeight="1"/>
    <row r="1396" ht="16" customHeight="1"/>
    <row r="1397" ht="16" customHeight="1"/>
    <row r="1398" ht="16" customHeight="1"/>
    <row r="1399" ht="16" customHeight="1"/>
    <row r="1400" ht="16" customHeight="1"/>
    <row r="1401" ht="16" customHeight="1"/>
    <row r="1402" ht="16" customHeight="1"/>
    <row r="1403" ht="16" customHeight="1"/>
    <row r="1404" ht="16" customHeight="1"/>
    <row r="1405" ht="16" customHeight="1"/>
    <row r="1406" ht="16" customHeight="1"/>
    <row r="1407" ht="16" customHeight="1"/>
    <row r="1408" ht="16" customHeight="1"/>
    <row r="1409" ht="16" customHeight="1"/>
    <row r="1410" ht="16" customHeight="1"/>
    <row r="1411" ht="16" customHeight="1"/>
    <row r="1412" ht="16" customHeight="1"/>
    <row r="1413" ht="16" customHeight="1"/>
    <row r="1414" ht="16" customHeight="1"/>
    <row r="1415" ht="16" customHeight="1"/>
    <row r="1416" ht="16" customHeight="1"/>
    <row r="1417" ht="16" customHeight="1"/>
    <row r="1418" ht="16" customHeight="1"/>
    <row r="1419" ht="16" customHeight="1"/>
    <row r="1420" ht="16" customHeight="1"/>
    <row r="1421" ht="16" customHeight="1"/>
    <row r="1422" ht="16" customHeight="1"/>
    <row r="1423" ht="16" customHeight="1"/>
    <row r="1424" ht="16" customHeight="1"/>
    <row r="1425" ht="16" customHeight="1"/>
    <row r="1426" ht="16" customHeight="1"/>
    <row r="1427" ht="16" customHeight="1"/>
    <row r="1428" ht="16" customHeight="1"/>
    <row r="1429" ht="16" customHeight="1"/>
    <row r="1430" ht="16" customHeight="1"/>
    <row r="1431" ht="16" customHeight="1"/>
    <row r="1432" ht="16" customHeight="1"/>
    <row r="1433" ht="16" customHeight="1"/>
    <row r="1434" ht="16" customHeight="1"/>
    <row r="1435" ht="16" customHeight="1"/>
    <row r="1436" ht="16" customHeight="1"/>
    <row r="1437" ht="16" customHeight="1"/>
    <row r="1438" ht="16" customHeight="1"/>
    <row r="1439" ht="16" customHeight="1"/>
    <row r="1440" ht="16" customHeight="1"/>
    <row r="1441" ht="16" customHeight="1"/>
    <row r="1442" ht="16" customHeight="1"/>
    <row r="1443" ht="16" customHeight="1"/>
    <row r="1444" ht="16" customHeight="1"/>
    <row r="1445" ht="16" customHeight="1"/>
    <row r="1446" ht="16" customHeight="1"/>
    <row r="1447" ht="16" customHeight="1"/>
    <row r="1448" ht="16" customHeight="1"/>
    <row r="1449" ht="16" customHeight="1"/>
    <row r="1450" ht="16" customHeight="1"/>
    <row r="1451" ht="16" customHeight="1"/>
    <row r="1452" ht="16" customHeight="1"/>
    <row r="1453" ht="16" customHeight="1"/>
    <row r="1454" ht="16" customHeight="1"/>
    <row r="1455" ht="16" customHeight="1"/>
    <row r="1456" ht="16" customHeight="1"/>
    <row r="1457" ht="16" customHeight="1"/>
    <row r="1458" ht="16" customHeight="1"/>
    <row r="1459" ht="16" customHeight="1"/>
    <row r="1460" ht="16" customHeight="1"/>
    <row r="1461" ht="16" customHeight="1"/>
    <row r="1462" ht="16" customHeight="1"/>
    <row r="1463" ht="16" customHeight="1"/>
    <row r="1464" ht="16" customHeight="1"/>
    <row r="1465" ht="16" customHeight="1"/>
    <row r="1466" ht="16" customHeight="1"/>
    <row r="1467" ht="16" customHeight="1"/>
    <row r="1468" ht="16" customHeight="1"/>
    <row r="1469" ht="16" customHeight="1"/>
    <row r="1470" ht="16" customHeight="1"/>
    <row r="1471" ht="16" customHeight="1"/>
    <row r="1472" ht="16" customHeight="1"/>
    <row r="1473" ht="16" customHeight="1"/>
    <row r="1474" ht="16" customHeight="1"/>
    <row r="1475" ht="16" customHeight="1"/>
    <row r="1476" ht="16" customHeight="1"/>
    <row r="1477" ht="16" customHeight="1"/>
    <row r="1478" ht="16" customHeight="1"/>
    <row r="1479" ht="16" customHeight="1"/>
    <row r="1480" ht="16" customHeight="1"/>
    <row r="1481" ht="16" customHeight="1"/>
    <row r="1482" ht="16" customHeight="1"/>
    <row r="1483" ht="16" customHeight="1"/>
    <row r="1484" ht="16" customHeight="1"/>
    <row r="1485" ht="16" customHeight="1"/>
    <row r="1486" ht="16" customHeight="1"/>
    <row r="1487" ht="16" customHeight="1"/>
    <row r="1488" ht="16" customHeight="1"/>
    <row r="1489" ht="16" customHeight="1"/>
    <row r="1490" ht="16" customHeight="1"/>
    <row r="1491" ht="16" customHeight="1"/>
    <row r="1492" ht="16" customHeight="1"/>
    <row r="1493" ht="16" customHeight="1"/>
    <row r="1494" ht="16" customHeight="1"/>
    <row r="1495" ht="16" customHeight="1"/>
    <row r="1496" ht="16" customHeight="1"/>
    <row r="1497" ht="16" customHeight="1"/>
    <row r="1498" ht="16" customHeight="1"/>
    <row r="1499" ht="16" customHeight="1"/>
    <row r="1500" ht="16" customHeight="1"/>
    <row r="1501" ht="16" customHeight="1"/>
    <row r="1502" ht="16" customHeight="1"/>
    <row r="1503" ht="16" customHeight="1"/>
    <row r="1504" ht="16" customHeight="1"/>
    <row r="1505" ht="16" customHeight="1"/>
    <row r="1506" ht="16" customHeight="1"/>
    <row r="1507" ht="16" customHeight="1"/>
    <row r="1508" ht="16" customHeight="1"/>
    <row r="1509" ht="16" customHeight="1"/>
    <row r="1510" ht="16" customHeight="1"/>
    <row r="1511" ht="16" customHeight="1"/>
    <row r="1512" ht="16" customHeight="1"/>
    <row r="1513" ht="16" customHeight="1"/>
    <row r="1514" ht="16" customHeight="1"/>
    <row r="1515" ht="16" customHeight="1"/>
    <row r="1516" ht="16" customHeight="1"/>
    <row r="1517" ht="16" customHeight="1"/>
    <row r="1518" ht="16" customHeight="1"/>
    <row r="1519" ht="16" customHeight="1"/>
    <row r="1520" ht="16" customHeight="1"/>
    <row r="1521" ht="16" customHeight="1"/>
    <row r="1522" ht="16" customHeight="1"/>
    <row r="1523" ht="16" customHeight="1"/>
    <row r="1524" ht="16" customHeight="1"/>
    <row r="1525" ht="16" customHeight="1"/>
    <row r="1526" ht="16" customHeight="1"/>
    <row r="1527" ht="16" customHeight="1"/>
    <row r="1528" ht="16" customHeight="1"/>
    <row r="1529" ht="16" customHeight="1"/>
    <row r="1530" ht="16" customHeight="1"/>
    <row r="1531" ht="16" customHeight="1"/>
    <row r="1532" ht="16" customHeight="1"/>
    <row r="1533" ht="16" customHeight="1"/>
    <row r="1534" ht="16" customHeight="1"/>
    <row r="1535" ht="16" customHeight="1"/>
    <row r="1536" ht="16" customHeight="1"/>
    <row r="1537" ht="16" customHeight="1"/>
    <row r="1538" ht="16" customHeight="1"/>
    <row r="1539" ht="16" customHeight="1"/>
    <row r="1540" ht="16" customHeight="1"/>
    <row r="1541" ht="16" customHeight="1"/>
    <row r="1542" ht="16" customHeight="1"/>
    <row r="1543" ht="16" customHeight="1"/>
    <row r="1544" ht="16" customHeight="1"/>
    <row r="1545" ht="16" customHeight="1"/>
    <row r="1546" ht="16" customHeight="1"/>
    <row r="1547" ht="16" customHeight="1"/>
    <row r="1548" ht="16" customHeight="1"/>
    <row r="1549" ht="16" customHeight="1"/>
    <row r="1550" ht="16" customHeight="1"/>
    <row r="1551" ht="16" customHeight="1"/>
    <row r="1552" ht="16" customHeight="1"/>
    <row r="1553" ht="16" customHeight="1"/>
    <row r="1554" ht="16" customHeight="1"/>
    <row r="1555" ht="16" customHeight="1"/>
    <row r="1556" ht="16" customHeight="1"/>
    <row r="1557" ht="16" customHeight="1"/>
    <row r="1558" ht="16" customHeight="1"/>
    <row r="1559" ht="16" customHeight="1"/>
    <row r="1560" ht="16" customHeight="1"/>
    <row r="1561" ht="16" customHeight="1"/>
    <row r="1562" ht="16" customHeight="1"/>
    <row r="1563" ht="16" customHeight="1"/>
    <row r="1564" ht="16" customHeight="1"/>
    <row r="1565" ht="16" customHeight="1"/>
    <row r="1566" ht="16" customHeight="1"/>
    <row r="1567" ht="16" customHeight="1"/>
    <row r="1568" ht="16" customHeight="1"/>
    <row r="1569" ht="16" customHeight="1"/>
    <row r="1570" ht="16" customHeight="1"/>
    <row r="1571" ht="16" customHeight="1"/>
    <row r="1572" ht="16" customHeight="1"/>
    <row r="1573" ht="16" customHeight="1"/>
    <row r="1574" ht="16" customHeight="1"/>
    <row r="1575" ht="16" customHeight="1"/>
    <row r="1576" ht="16" customHeight="1"/>
    <row r="1577" ht="16" customHeight="1"/>
    <row r="1578" ht="16" customHeight="1"/>
    <row r="1579" ht="16" customHeight="1"/>
    <row r="1580" ht="16" customHeight="1"/>
    <row r="1581" ht="16" customHeight="1"/>
    <row r="1582" ht="16" customHeight="1"/>
    <row r="1583" ht="16" customHeight="1"/>
    <row r="1584" ht="16" customHeight="1"/>
    <row r="1585" ht="16" customHeight="1"/>
    <row r="1586" ht="16" customHeight="1"/>
    <row r="1587" ht="16" customHeight="1"/>
    <row r="1588" ht="16" customHeight="1"/>
    <row r="1589" ht="16" customHeight="1"/>
    <row r="1590" ht="16" customHeight="1"/>
    <row r="1591" ht="16" customHeight="1"/>
    <row r="1592" ht="16" customHeight="1"/>
    <row r="1593" ht="16" customHeight="1"/>
    <row r="1594" ht="16" customHeight="1"/>
    <row r="1595" ht="16" customHeight="1"/>
    <row r="1596" ht="16" customHeight="1"/>
    <row r="1597" ht="16" customHeight="1"/>
    <row r="1598" ht="16" customHeight="1"/>
    <row r="1599" ht="16" customHeight="1"/>
    <row r="1600" ht="16" customHeight="1"/>
    <row r="1601" ht="16" customHeight="1"/>
    <row r="1602" ht="16" customHeight="1"/>
    <row r="1603" ht="16" customHeight="1"/>
    <row r="1604" ht="16" customHeight="1"/>
    <row r="1605" ht="16" customHeight="1"/>
    <row r="1606" ht="16" customHeight="1"/>
    <row r="1607" ht="16" customHeight="1"/>
    <row r="1608" ht="16" customHeight="1"/>
    <row r="1609" ht="16" customHeight="1"/>
    <row r="1610" ht="16" customHeight="1"/>
    <row r="1611" ht="16" customHeight="1"/>
    <row r="1612" ht="16" customHeight="1"/>
    <row r="1613" ht="16" customHeight="1"/>
    <row r="1614" ht="16" customHeight="1"/>
    <row r="1615" ht="16" customHeight="1"/>
    <row r="1616" ht="16" customHeight="1"/>
    <row r="1617" ht="16" customHeight="1"/>
    <row r="1618" ht="16" customHeight="1"/>
    <row r="1619" ht="16" customHeight="1"/>
    <row r="1620" ht="16" customHeight="1"/>
    <row r="1621" ht="16" customHeight="1"/>
    <row r="1622" ht="16" customHeight="1"/>
    <row r="1623" ht="16" customHeight="1"/>
    <row r="1624" ht="16" customHeight="1"/>
    <row r="1625" ht="16" customHeight="1"/>
    <row r="1626" ht="16" customHeight="1"/>
    <row r="1627" ht="16" customHeight="1"/>
    <row r="1628" ht="16" customHeight="1"/>
    <row r="1629" ht="16" customHeight="1"/>
    <row r="1630" ht="16" customHeight="1"/>
    <row r="1631" ht="16" customHeight="1"/>
    <row r="1632" ht="16" customHeight="1"/>
    <row r="1633" ht="16" customHeight="1"/>
    <row r="1634" ht="16" customHeight="1"/>
    <row r="1635" ht="16" customHeight="1"/>
    <row r="1636" ht="16" customHeight="1"/>
    <row r="1637" ht="16" customHeight="1"/>
    <row r="1638" ht="16" customHeight="1"/>
    <row r="1639" ht="16" customHeight="1"/>
    <row r="1640" ht="16" customHeight="1"/>
    <row r="1641" ht="16" customHeight="1"/>
    <row r="1642" ht="16" customHeight="1"/>
    <row r="1643" ht="16" customHeight="1"/>
    <row r="1644" ht="16" customHeight="1"/>
    <row r="1645" ht="16" customHeight="1"/>
    <row r="1646" ht="16" customHeight="1"/>
    <row r="1647" ht="16" customHeight="1"/>
    <row r="1648" ht="16" customHeight="1"/>
    <row r="1649" ht="16" customHeight="1"/>
    <row r="1650" ht="16" customHeight="1"/>
    <row r="1651" ht="16" customHeight="1"/>
    <row r="1652" ht="16" customHeight="1"/>
    <row r="1653" ht="16" customHeight="1"/>
    <row r="1654" ht="16" customHeight="1"/>
    <row r="1655" ht="16" customHeight="1"/>
    <row r="1656" ht="16" customHeight="1"/>
    <row r="1657" ht="16" customHeight="1"/>
    <row r="1658" ht="16" customHeight="1"/>
    <row r="1659" ht="16" customHeight="1"/>
    <row r="1660" ht="16" customHeight="1"/>
    <row r="1661" ht="16" customHeight="1"/>
    <row r="1662" ht="16" customHeight="1"/>
    <row r="1663" ht="16" customHeight="1"/>
    <row r="1664" ht="16" customHeight="1"/>
    <row r="1665" ht="16" customHeight="1"/>
    <row r="1666" ht="16" customHeight="1"/>
    <row r="1667" ht="16" customHeight="1"/>
    <row r="1668" ht="16" customHeight="1"/>
    <row r="1669" ht="16" customHeight="1"/>
    <row r="1670" ht="16" customHeight="1"/>
    <row r="1671" ht="16" customHeight="1"/>
    <row r="1672" ht="16" customHeight="1"/>
    <row r="1673" ht="16" customHeight="1"/>
    <row r="1674" ht="16" customHeight="1"/>
    <row r="1675" ht="16" customHeight="1"/>
    <row r="1676" ht="16" customHeight="1"/>
    <row r="1677" ht="16" customHeight="1"/>
    <row r="1678" ht="16" customHeight="1"/>
    <row r="1679" ht="16" customHeight="1"/>
    <row r="1680" ht="16" customHeight="1"/>
    <row r="1681" ht="16" customHeight="1"/>
    <row r="1682" ht="16" customHeight="1"/>
    <row r="1683" ht="16" customHeight="1"/>
    <row r="1684" ht="16" customHeight="1"/>
    <row r="1685" ht="16" customHeight="1"/>
    <row r="1686" ht="16" customHeight="1"/>
    <row r="1687" ht="16" customHeight="1"/>
    <row r="1688" ht="16" customHeight="1"/>
    <row r="1689" ht="16" customHeight="1"/>
    <row r="1690" ht="16" customHeight="1"/>
    <row r="1691" ht="16" customHeight="1"/>
    <row r="1692" ht="16" customHeight="1"/>
    <row r="1693" ht="16" customHeight="1"/>
    <row r="1694" ht="16" customHeight="1"/>
    <row r="1695" ht="16" customHeight="1"/>
    <row r="1696" ht="16" customHeight="1"/>
    <row r="1697" ht="16" customHeight="1"/>
    <row r="1698" ht="16" customHeight="1"/>
    <row r="1699" ht="16" customHeight="1"/>
    <row r="1700" ht="16" customHeight="1"/>
    <row r="1701" ht="16" customHeight="1"/>
    <row r="1702" ht="16" customHeight="1"/>
    <row r="1703" ht="16" customHeight="1"/>
    <row r="1704" ht="16" customHeight="1"/>
    <row r="1705" ht="16" customHeight="1"/>
    <row r="1706" ht="16" customHeight="1"/>
    <row r="1707" ht="16" customHeight="1"/>
    <row r="1708" ht="16" customHeight="1"/>
    <row r="1709" ht="16" customHeight="1"/>
    <row r="1710" ht="16" customHeight="1"/>
    <row r="1711" ht="16" customHeight="1"/>
    <row r="1712" ht="16" customHeight="1"/>
    <row r="1713" ht="16" customHeight="1"/>
    <row r="1714" ht="16" customHeight="1"/>
    <row r="1715" ht="16" customHeight="1"/>
    <row r="1716" ht="16" customHeight="1"/>
    <row r="1717" ht="16" customHeight="1"/>
    <row r="1718" ht="16" customHeight="1"/>
    <row r="1719" ht="16" customHeight="1"/>
    <row r="1720" ht="16" customHeight="1"/>
    <row r="1721" ht="16" customHeight="1"/>
    <row r="1722" ht="16" customHeight="1"/>
    <row r="1723" ht="16" customHeight="1"/>
    <row r="1724" ht="16" customHeight="1"/>
    <row r="1725" ht="16" customHeight="1"/>
    <row r="1726" ht="16" customHeight="1"/>
    <row r="1727" ht="16" customHeight="1"/>
    <row r="1728" ht="16" customHeight="1"/>
    <row r="1729" ht="16" customHeight="1"/>
    <row r="1730" ht="16" customHeight="1"/>
    <row r="1731" ht="16" customHeight="1"/>
    <row r="1732" ht="16" customHeight="1"/>
    <row r="1733" ht="16" customHeight="1"/>
    <row r="1734" ht="16" customHeight="1"/>
    <row r="1735" ht="16" customHeight="1"/>
    <row r="1736" ht="16" customHeight="1"/>
    <row r="1737" ht="16" customHeight="1"/>
    <row r="1738" ht="16" customHeight="1"/>
    <row r="1739" ht="16" customHeight="1"/>
    <row r="1740" ht="16" customHeight="1"/>
    <row r="1741" ht="16" customHeight="1"/>
    <row r="1742" ht="16" customHeight="1"/>
    <row r="1743" ht="16" customHeight="1"/>
    <row r="1744" ht="16" customHeight="1"/>
    <row r="1745" ht="16" customHeight="1"/>
    <row r="1746" ht="16" customHeight="1"/>
    <row r="1747" ht="16" customHeight="1"/>
    <row r="1748" ht="16" customHeight="1"/>
    <row r="1749" ht="16" customHeight="1"/>
    <row r="1750" ht="16" customHeight="1"/>
    <row r="1751" ht="16" customHeight="1"/>
    <row r="1752" ht="16" customHeight="1"/>
    <row r="1753" ht="16" customHeight="1"/>
    <row r="1754" ht="16" customHeight="1"/>
    <row r="1755" ht="16" customHeight="1"/>
    <row r="1756" ht="16" customHeight="1"/>
    <row r="1757" ht="16" customHeight="1"/>
    <row r="1758" ht="16" customHeight="1"/>
    <row r="1759" ht="16" customHeight="1"/>
    <row r="1760" ht="16" customHeight="1"/>
    <row r="1761" ht="16" customHeight="1"/>
    <row r="1762" ht="16" customHeight="1"/>
    <row r="1763" ht="16" customHeight="1"/>
    <row r="1764" ht="16" customHeight="1"/>
    <row r="1765" ht="16" customHeight="1"/>
    <row r="1766" ht="16" customHeight="1"/>
    <row r="1767" ht="16" customHeight="1"/>
    <row r="1768" ht="16" customHeight="1"/>
    <row r="1769" ht="16" customHeight="1"/>
    <row r="1770" ht="16" customHeight="1"/>
    <row r="1771" ht="16" customHeight="1"/>
    <row r="1772" ht="16" customHeight="1"/>
    <row r="1773" ht="16" customHeight="1"/>
    <row r="1774" ht="16" customHeight="1"/>
    <row r="1775" ht="16" customHeight="1"/>
    <row r="1776" ht="16" customHeight="1"/>
    <row r="1777" ht="16" customHeight="1"/>
    <row r="1778" ht="16" customHeight="1"/>
    <row r="1779" ht="16" customHeight="1"/>
    <row r="1780" ht="16" customHeight="1"/>
    <row r="1781" ht="16" customHeight="1"/>
    <row r="1782" ht="16" customHeight="1"/>
    <row r="1783" ht="16" customHeight="1"/>
    <row r="1784" ht="16" customHeight="1"/>
    <row r="1785" ht="16" customHeight="1"/>
    <row r="1786" ht="16" customHeight="1"/>
    <row r="1787" ht="16" customHeight="1"/>
    <row r="1788" ht="16" customHeight="1"/>
    <row r="1789" ht="16" customHeight="1"/>
    <row r="1790" ht="16" customHeight="1"/>
    <row r="1791" ht="16" customHeight="1"/>
    <row r="1792" ht="16" customHeight="1"/>
    <row r="1793" ht="16" customHeight="1"/>
    <row r="1794" ht="16" customHeight="1"/>
    <row r="1795" ht="16" customHeight="1"/>
    <row r="1796" ht="16" customHeight="1"/>
    <row r="1797" ht="16" customHeight="1"/>
    <row r="1798" ht="16" customHeight="1"/>
    <row r="1799" ht="16" customHeight="1"/>
    <row r="1800" ht="16" customHeight="1"/>
    <row r="1801" ht="16" customHeight="1"/>
    <row r="1802" ht="16" customHeight="1"/>
    <row r="1803" ht="16" customHeight="1"/>
    <row r="1804" ht="16" customHeight="1"/>
    <row r="1805" ht="16" customHeight="1"/>
    <row r="1806" ht="16" customHeight="1"/>
    <row r="1807" ht="16" customHeight="1"/>
    <row r="1808" ht="16" customHeight="1"/>
    <row r="1809" ht="16" customHeight="1"/>
    <row r="1810" ht="16" customHeight="1"/>
    <row r="1811" ht="16" customHeight="1"/>
    <row r="1812" ht="16" customHeight="1"/>
    <row r="1813" ht="16" customHeight="1"/>
    <row r="1814" ht="16" customHeight="1"/>
    <row r="1815" ht="16" customHeight="1"/>
    <row r="1816" ht="16" customHeight="1"/>
    <row r="1817" ht="16" customHeight="1"/>
    <row r="1818" ht="16" customHeight="1"/>
    <row r="1819" ht="16" customHeight="1"/>
    <row r="1820" ht="16" customHeight="1"/>
    <row r="1821" ht="16" customHeight="1"/>
    <row r="1822" ht="16" customHeight="1"/>
    <row r="1823" ht="16" customHeight="1"/>
    <row r="1824" ht="16" customHeight="1"/>
    <row r="1825" ht="16" customHeight="1"/>
    <row r="1826" ht="16" customHeight="1"/>
    <row r="1827" ht="16" customHeight="1"/>
    <row r="1828" ht="16" customHeight="1"/>
    <row r="1829" ht="16" customHeight="1"/>
    <row r="1830" ht="16" customHeight="1"/>
    <row r="1831" ht="16" customHeight="1"/>
    <row r="1832" ht="16" customHeight="1"/>
    <row r="1833" ht="16" customHeight="1"/>
    <row r="1834" ht="16" customHeight="1"/>
    <row r="1835" ht="16" customHeight="1"/>
    <row r="1836" ht="16" customHeight="1"/>
    <row r="1837" ht="16" customHeight="1"/>
    <row r="1838" ht="16" customHeight="1"/>
    <row r="1839" ht="16" customHeight="1"/>
    <row r="1840" ht="16" customHeight="1"/>
    <row r="1841" ht="16" customHeight="1"/>
    <row r="1842" ht="16" customHeight="1"/>
    <row r="1843" ht="16" customHeight="1"/>
    <row r="1844" ht="16" customHeight="1"/>
    <row r="1845" ht="16" customHeight="1"/>
    <row r="1846" ht="16" customHeight="1"/>
    <row r="1847" ht="16" customHeight="1"/>
    <row r="1848" ht="16" customHeight="1"/>
    <row r="1849" ht="16" customHeight="1"/>
    <row r="1850" ht="16" customHeight="1"/>
    <row r="1851" ht="16" customHeight="1"/>
    <row r="1852" ht="16" customHeight="1"/>
    <row r="1853" ht="16" customHeight="1"/>
    <row r="1854" ht="16" customHeight="1"/>
    <row r="1855" ht="16" customHeight="1"/>
    <row r="1856" ht="16" customHeight="1"/>
    <row r="1857" ht="16" customHeight="1"/>
    <row r="1858" ht="16" customHeight="1"/>
    <row r="1859" ht="16" customHeight="1"/>
    <row r="1860" ht="16" customHeight="1"/>
    <row r="1861" ht="16" customHeight="1"/>
    <row r="1862" ht="16" customHeight="1"/>
    <row r="1863" ht="16" customHeight="1"/>
    <row r="1864" ht="16" customHeight="1"/>
    <row r="1865" ht="16" customHeight="1"/>
    <row r="1866" ht="16" customHeight="1"/>
    <row r="1867" ht="16" customHeight="1"/>
    <row r="1868" ht="16" customHeight="1"/>
    <row r="1869" ht="16" customHeight="1"/>
    <row r="1870" ht="16" customHeight="1"/>
    <row r="1871" ht="16" customHeight="1"/>
    <row r="1872" ht="16" customHeight="1"/>
    <row r="1873" ht="16" customHeight="1"/>
    <row r="1874" ht="16" customHeight="1"/>
    <row r="1875" ht="16" customHeight="1"/>
    <row r="1876" ht="16" customHeight="1"/>
    <row r="1877" ht="16" customHeight="1"/>
    <row r="1878" ht="16" customHeight="1"/>
    <row r="1879" ht="16" customHeight="1"/>
    <row r="1880" ht="16" customHeight="1"/>
    <row r="1881" ht="16" customHeight="1"/>
    <row r="1882" ht="16" customHeight="1"/>
    <row r="1883" ht="16" customHeight="1"/>
    <row r="1884" ht="16" customHeight="1"/>
    <row r="1885" ht="16" customHeight="1"/>
    <row r="1886" ht="16" customHeight="1"/>
    <row r="1887" ht="16" customHeight="1"/>
    <row r="1888" ht="16" customHeight="1"/>
    <row r="1889" ht="16" customHeight="1"/>
    <row r="1890" ht="16" customHeight="1"/>
    <row r="1891" ht="16" customHeight="1"/>
    <row r="1892" ht="16" customHeight="1"/>
    <row r="1893" ht="16" customHeight="1"/>
    <row r="1894" ht="16" customHeight="1"/>
    <row r="1895" ht="16" customHeight="1"/>
    <row r="1896" ht="16" customHeight="1"/>
    <row r="1897" ht="16" customHeight="1"/>
    <row r="1898" ht="16" customHeight="1"/>
    <row r="1899" ht="16" customHeight="1"/>
    <row r="1900" ht="16" customHeight="1"/>
    <row r="1901" ht="16" customHeight="1"/>
    <row r="1902" ht="16" customHeight="1"/>
    <row r="1903" ht="16" customHeight="1"/>
    <row r="1904" ht="16" customHeight="1"/>
    <row r="1905" ht="16" customHeight="1"/>
    <row r="1906" ht="16" customHeight="1"/>
    <row r="1907" ht="16" customHeight="1"/>
    <row r="1908" ht="16" customHeight="1"/>
    <row r="1909" ht="16" customHeight="1"/>
    <row r="1910" ht="16" customHeight="1"/>
    <row r="1911" ht="16" customHeight="1"/>
    <row r="1912" ht="16" customHeight="1"/>
    <row r="1913" ht="16" customHeight="1"/>
    <row r="1914" ht="16" customHeight="1"/>
    <row r="1915" ht="16" customHeight="1"/>
    <row r="1916" ht="16" customHeight="1"/>
    <row r="1917" ht="16" customHeight="1"/>
    <row r="1918" ht="16" customHeight="1"/>
    <row r="1919" ht="16" customHeight="1"/>
    <row r="1920" ht="16" customHeight="1"/>
    <row r="1921" ht="16" customHeight="1"/>
    <row r="1922" ht="16" customHeight="1"/>
    <row r="1923" ht="16" customHeight="1"/>
    <row r="1924" ht="16" customHeight="1"/>
    <row r="1925" ht="16" customHeight="1"/>
    <row r="1926" ht="16" customHeight="1"/>
    <row r="1927" ht="16" customHeight="1"/>
    <row r="1928" ht="16" customHeight="1"/>
    <row r="1929" ht="16" customHeight="1"/>
    <row r="1930" ht="16" customHeight="1"/>
    <row r="1931" ht="16" customHeight="1"/>
    <row r="1932" ht="16" customHeight="1"/>
    <row r="1933" ht="16" customHeight="1"/>
    <row r="1934" ht="16" customHeight="1"/>
    <row r="1935" ht="16" customHeight="1"/>
    <row r="1936" ht="16" customHeight="1"/>
    <row r="1937" ht="16" customHeight="1"/>
    <row r="1938" ht="16" customHeight="1"/>
    <row r="1939" ht="16" customHeight="1"/>
    <row r="1940" ht="16" customHeight="1"/>
    <row r="1941" ht="16" customHeight="1"/>
    <row r="1942" ht="16" customHeight="1"/>
    <row r="1943" ht="16" customHeight="1"/>
    <row r="1944" ht="16" customHeight="1"/>
    <row r="1945" ht="16" customHeight="1"/>
    <row r="1946" ht="16" customHeight="1"/>
    <row r="1947" ht="16" customHeight="1"/>
    <row r="1948" ht="16" customHeight="1"/>
    <row r="1949" ht="16" customHeight="1"/>
    <row r="1950" ht="16" customHeight="1"/>
    <row r="1951" ht="16" customHeight="1"/>
    <row r="1952" ht="16" customHeight="1"/>
    <row r="1953" ht="16" customHeight="1"/>
    <row r="1954" ht="16" customHeight="1"/>
    <row r="1955" ht="16" customHeight="1"/>
    <row r="1956" ht="16" customHeight="1"/>
    <row r="1957" ht="16" customHeight="1"/>
    <row r="1958" ht="16" customHeight="1"/>
    <row r="1959" ht="16" customHeight="1"/>
    <row r="1960" ht="16" customHeight="1"/>
    <row r="1961" ht="16" customHeight="1"/>
    <row r="1962" ht="16" customHeight="1"/>
    <row r="1963" ht="16" customHeight="1"/>
    <row r="1964" ht="16" customHeight="1"/>
    <row r="1965" ht="16" customHeight="1"/>
    <row r="1966" ht="16" customHeight="1"/>
    <row r="1967" ht="16" customHeight="1"/>
    <row r="1968" ht="16" customHeight="1"/>
    <row r="1969" ht="16" customHeight="1"/>
    <row r="1970" ht="16" customHeight="1"/>
    <row r="1971" ht="16" customHeight="1"/>
    <row r="1972" ht="16" customHeight="1"/>
    <row r="1973" ht="16" customHeight="1"/>
    <row r="1974" ht="16" customHeight="1"/>
    <row r="1975" ht="16" customHeight="1"/>
    <row r="1976" ht="16" customHeight="1"/>
    <row r="1977" ht="16" customHeight="1"/>
    <row r="1978" ht="16" customHeight="1"/>
    <row r="1979" ht="16" customHeight="1"/>
    <row r="1980" ht="16" customHeight="1"/>
    <row r="1981" ht="16" customHeight="1"/>
    <row r="1982" ht="16" customHeight="1"/>
    <row r="1983" ht="16" customHeight="1"/>
    <row r="1984" ht="16" customHeight="1"/>
    <row r="1985" ht="16" customHeight="1"/>
    <row r="1986" ht="16" customHeight="1"/>
    <row r="1987" ht="16" customHeight="1"/>
    <row r="1988" ht="16" customHeight="1"/>
    <row r="1989" ht="16" customHeight="1"/>
    <row r="1990" ht="16" customHeight="1"/>
    <row r="1991" ht="16" customHeight="1"/>
    <row r="1992" ht="16" customHeight="1"/>
    <row r="1993" ht="16" customHeight="1"/>
    <row r="1994" ht="16" customHeight="1"/>
    <row r="1995" ht="16" customHeight="1"/>
    <row r="1996" ht="16" customHeight="1"/>
    <row r="1997" ht="16" customHeight="1"/>
    <row r="1998" ht="16" customHeight="1"/>
    <row r="1999" ht="16" customHeight="1"/>
    <row r="2000" ht="16" customHeight="1"/>
    <row r="2001" ht="16" customHeight="1"/>
    <row r="2002" ht="16" customHeight="1"/>
    <row r="2003" ht="16" customHeight="1"/>
    <row r="2004" ht="16" customHeight="1"/>
    <row r="2005" ht="16" customHeight="1"/>
    <row r="2006" ht="16" customHeight="1"/>
    <row r="2007" ht="16" customHeight="1"/>
    <row r="2008" ht="16" customHeight="1"/>
    <row r="2009" ht="16" customHeight="1"/>
    <row r="2010" ht="16" customHeight="1"/>
    <row r="2011" ht="16" customHeight="1"/>
    <row r="2012" ht="16" customHeight="1"/>
    <row r="2013" ht="16" customHeight="1"/>
    <row r="2014" ht="16" customHeight="1"/>
    <row r="2015" ht="16" customHeight="1"/>
    <row r="2016" ht="16" customHeight="1"/>
    <row r="2017" ht="16" customHeight="1"/>
    <row r="2018" ht="16" customHeight="1"/>
    <row r="2019" ht="16" customHeight="1"/>
    <row r="2020" ht="16" customHeight="1"/>
    <row r="2021" ht="16" customHeight="1"/>
    <row r="2022" ht="16" customHeight="1"/>
    <row r="2023" ht="16" customHeight="1"/>
    <row r="2024" ht="16" customHeight="1"/>
    <row r="2025" ht="16" customHeight="1"/>
    <row r="2026" ht="16" customHeight="1"/>
    <row r="2027" ht="16" customHeight="1"/>
    <row r="2028" ht="16" customHeight="1"/>
    <row r="2029" ht="16" customHeight="1"/>
    <row r="2030" ht="16" customHeight="1"/>
    <row r="2031" ht="16" customHeight="1"/>
    <row r="2032" ht="16" customHeight="1"/>
    <row r="2033" ht="16" customHeight="1"/>
    <row r="2034" ht="16" customHeight="1"/>
    <row r="2035" ht="16" customHeight="1"/>
    <row r="2036" ht="16" customHeight="1"/>
    <row r="2037" ht="16" customHeight="1"/>
    <row r="2038" ht="16" customHeight="1"/>
    <row r="2039" ht="16" customHeight="1"/>
    <row r="2040" ht="16" customHeight="1"/>
    <row r="2041" ht="16" customHeight="1"/>
    <row r="2042" ht="16" customHeight="1"/>
    <row r="2043" ht="16" customHeight="1"/>
    <row r="2044" ht="16" customHeight="1"/>
    <row r="2045" ht="16" customHeight="1"/>
    <row r="2046" ht="16" customHeight="1"/>
    <row r="2047" ht="16" customHeight="1"/>
    <row r="2048" ht="16" customHeight="1"/>
    <row r="2049" ht="16" customHeight="1"/>
    <row r="2050" ht="16" customHeight="1"/>
    <row r="2051" ht="16" customHeight="1"/>
    <row r="2052" ht="16" customHeight="1"/>
    <row r="2053" ht="16" customHeight="1"/>
    <row r="2054" ht="16" customHeight="1"/>
    <row r="2055" ht="16" customHeight="1"/>
    <row r="2056" ht="16" customHeight="1"/>
    <row r="2057" ht="16" customHeight="1"/>
    <row r="2058" ht="16" customHeight="1"/>
    <row r="2059" ht="16" customHeight="1"/>
    <row r="2060" ht="16" customHeight="1"/>
    <row r="2061" ht="16" customHeight="1"/>
    <row r="2062" ht="16" customHeight="1"/>
    <row r="2063" ht="16" customHeight="1"/>
    <row r="2064" ht="16" customHeight="1"/>
    <row r="2065" ht="16" customHeight="1"/>
    <row r="2066" ht="16" customHeight="1"/>
    <row r="2067" ht="16" customHeight="1"/>
    <row r="2068" ht="16" customHeight="1"/>
    <row r="2069" ht="16" customHeight="1"/>
    <row r="2070" ht="16" customHeight="1"/>
    <row r="2071" ht="16" customHeight="1"/>
    <row r="2072" ht="16" customHeight="1"/>
    <row r="2073" ht="16" customHeight="1"/>
    <row r="2074" ht="16" customHeight="1"/>
    <row r="2075" ht="16" customHeight="1"/>
    <row r="2076" ht="16" customHeight="1"/>
    <row r="2077" ht="16" customHeight="1"/>
    <row r="2078" ht="16" customHeight="1"/>
    <row r="2079" ht="16" customHeight="1"/>
    <row r="2080" ht="16" customHeight="1"/>
    <row r="2081" ht="16" customHeight="1"/>
    <row r="2082" ht="16" customHeight="1"/>
    <row r="2083" ht="16" customHeight="1"/>
    <row r="2084" ht="16" customHeight="1"/>
    <row r="2085" ht="16" customHeight="1"/>
    <row r="2086" ht="16" customHeight="1"/>
    <row r="2087" ht="16" customHeight="1"/>
    <row r="2088" ht="16" customHeight="1"/>
    <row r="2089" ht="16" customHeight="1"/>
    <row r="2090" ht="16" customHeight="1"/>
    <row r="2091" ht="16" customHeight="1"/>
    <row r="2092" ht="16" customHeight="1"/>
    <row r="2093" ht="16" customHeight="1"/>
    <row r="2094" ht="16" customHeight="1"/>
    <row r="2095" ht="16" customHeight="1"/>
    <row r="2096" ht="16" customHeight="1"/>
    <row r="2097" ht="16" customHeight="1"/>
    <row r="2098" ht="16" customHeight="1"/>
    <row r="2099" ht="16" customHeight="1"/>
    <row r="2100" ht="16" customHeight="1"/>
    <row r="2101" ht="16" customHeight="1"/>
    <row r="2102" ht="16" customHeight="1"/>
    <row r="2103" ht="16" customHeight="1"/>
    <row r="2104" ht="16" customHeight="1"/>
    <row r="2105" ht="16" customHeight="1"/>
    <row r="2106" ht="16" customHeight="1"/>
    <row r="2107" ht="16" customHeight="1"/>
    <row r="2108" ht="16" customHeight="1"/>
    <row r="2109" ht="16" customHeight="1"/>
    <row r="2110" ht="16" customHeight="1"/>
    <row r="2111" ht="16" customHeight="1"/>
    <row r="2112" ht="16" customHeight="1"/>
    <row r="2113" ht="16" customHeight="1"/>
    <row r="2114" ht="16" customHeight="1"/>
    <row r="2115" ht="16" customHeight="1"/>
    <row r="2116" ht="16" customHeight="1"/>
    <row r="2117" ht="16" customHeight="1"/>
    <row r="2118" ht="16" customHeight="1"/>
    <row r="2119" ht="16" customHeight="1"/>
    <row r="2120" ht="16" customHeight="1"/>
    <row r="2121" ht="16" customHeight="1"/>
    <row r="2122" ht="16" customHeight="1"/>
    <row r="2123" ht="16" customHeight="1"/>
    <row r="2124" ht="16" customHeight="1"/>
    <row r="2125" ht="16" customHeight="1"/>
    <row r="2126" ht="16" customHeight="1"/>
    <row r="2127" ht="16" customHeight="1"/>
    <row r="2128" ht="16" customHeight="1"/>
    <row r="2129" ht="16" customHeight="1"/>
    <row r="2130" ht="16" customHeight="1"/>
    <row r="2131" ht="16" customHeight="1"/>
    <row r="2132" ht="16" customHeight="1"/>
    <row r="2133" ht="16" customHeight="1"/>
    <row r="2134" ht="16" customHeight="1"/>
    <row r="2135" ht="16" customHeight="1"/>
    <row r="2136" ht="16" customHeight="1"/>
    <row r="2137" ht="16" customHeight="1"/>
    <row r="2138" ht="16" customHeight="1"/>
    <row r="2139" ht="16" customHeight="1"/>
    <row r="2140" ht="16" customHeight="1"/>
    <row r="2141" ht="16" customHeight="1"/>
    <row r="2142" ht="16" customHeight="1"/>
    <row r="2143" ht="16" customHeight="1"/>
    <row r="2144" ht="16" customHeight="1"/>
    <row r="2145" ht="16" customHeight="1"/>
    <row r="2146" ht="16" customHeight="1"/>
    <row r="2147" ht="16" customHeight="1"/>
    <row r="2148" ht="16" customHeight="1"/>
    <row r="2149" ht="16" customHeight="1"/>
    <row r="2150" ht="16" customHeight="1"/>
    <row r="2151" ht="16" customHeight="1"/>
    <row r="2152" ht="16" customHeight="1"/>
    <row r="2153" ht="16" customHeight="1"/>
    <row r="2154" ht="16" customHeight="1"/>
    <row r="2155" ht="16" customHeight="1"/>
    <row r="2156" ht="16" customHeight="1"/>
    <row r="2157" ht="16" customHeight="1"/>
    <row r="2158" ht="16" customHeight="1"/>
    <row r="2159" ht="16" customHeight="1"/>
    <row r="2160" ht="16" customHeight="1"/>
    <row r="2161" ht="16" customHeight="1"/>
    <row r="2162" ht="16" customHeight="1"/>
    <row r="2163" ht="16" customHeight="1"/>
    <row r="2164" ht="16" customHeight="1"/>
    <row r="2165" ht="16" customHeight="1"/>
    <row r="2166" ht="16" customHeight="1"/>
    <row r="2167" ht="16" customHeight="1"/>
    <row r="2168" ht="16" customHeight="1"/>
    <row r="2169" ht="16" customHeight="1"/>
    <row r="2170" ht="16" customHeight="1"/>
    <row r="2171" ht="16" customHeight="1"/>
    <row r="2172" ht="16" customHeight="1"/>
    <row r="2173" ht="16" customHeight="1"/>
    <row r="2174" ht="16" customHeight="1"/>
    <row r="2175" ht="16" customHeight="1"/>
    <row r="2176" ht="16" customHeight="1"/>
    <row r="2177" ht="16" customHeight="1"/>
    <row r="2178" ht="16" customHeight="1"/>
    <row r="2179" ht="16" customHeight="1"/>
    <row r="2180" ht="16" customHeight="1"/>
    <row r="2181" ht="16" customHeight="1"/>
    <row r="2182" ht="16" customHeight="1"/>
    <row r="2183" ht="16" customHeight="1"/>
    <row r="2184" ht="16" customHeight="1"/>
    <row r="2185" ht="16" customHeight="1"/>
    <row r="2186" ht="16" customHeight="1"/>
    <row r="2187" ht="16" customHeight="1"/>
    <row r="2188" ht="16" customHeight="1"/>
    <row r="2189" ht="16" customHeight="1"/>
    <row r="2190" ht="16" customHeight="1"/>
    <row r="2191" ht="16" customHeight="1"/>
    <row r="2192" ht="16" customHeight="1"/>
    <row r="2193" ht="16" customHeight="1"/>
    <row r="2194" ht="16" customHeight="1"/>
    <row r="2195" ht="16" customHeight="1"/>
    <row r="2196" ht="16" customHeight="1"/>
    <row r="2197" ht="16" customHeight="1"/>
    <row r="2198" ht="16" customHeight="1"/>
    <row r="2199" ht="16" customHeight="1"/>
    <row r="2200" ht="16" customHeight="1"/>
    <row r="2201" ht="16" customHeight="1"/>
    <row r="2202" ht="16" customHeight="1"/>
    <row r="2203" ht="16" customHeight="1"/>
    <row r="2204" ht="16" customHeight="1"/>
    <row r="2205" ht="16" customHeight="1"/>
    <row r="2206" ht="16" customHeight="1"/>
    <row r="2207" ht="16" customHeight="1"/>
    <row r="2208" ht="16" customHeight="1"/>
    <row r="2209" ht="16" customHeight="1"/>
    <row r="2210" ht="16" customHeight="1"/>
    <row r="2211" ht="16" customHeight="1"/>
    <row r="2212" ht="16" customHeight="1"/>
    <row r="2213" ht="16" customHeight="1"/>
    <row r="2214" ht="16" customHeight="1"/>
    <row r="2215" ht="16" customHeight="1"/>
    <row r="2216" ht="16" customHeight="1"/>
    <row r="2217" ht="16" customHeight="1"/>
    <row r="2218" ht="16" customHeight="1"/>
    <row r="2219" ht="16" customHeight="1"/>
    <row r="2220" ht="16" customHeight="1"/>
    <row r="2221" ht="16" customHeight="1"/>
    <row r="2222" ht="16" customHeight="1"/>
    <row r="2223" ht="16" customHeight="1"/>
    <row r="2224" ht="16" customHeight="1"/>
    <row r="2225" ht="16" customHeight="1"/>
    <row r="2226" ht="16" customHeight="1"/>
    <row r="2227" ht="16" customHeight="1"/>
    <row r="2228" ht="16" customHeight="1"/>
    <row r="2229" ht="16" customHeight="1"/>
    <row r="2230" ht="16" customHeight="1"/>
    <row r="2231" ht="16" customHeight="1"/>
    <row r="2232" ht="16" customHeight="1"/>
    <row r="2233" ht="16" customHeight="1"/>
    <row r="2234" ht="16" customHeight="1"/>
    <row r="2235" ht="16" customHeight="1"/>
    <row r="2236" ht="16" customHeight="1"/>
    <row r="2237" ht="16" customHeight="1"/>
    <row r="2238" ht="16" customHeight="1"/>
    <row r="2239" ht="16" customHeight="1"/>
    <row r="2240" ht="16" customHeight="1"/>
    <row r="2241" ht="16" customHeight="1"/>
    <row r="2242" ht="16" customHeight="1"/>
    <row r="2243" ht="16" customHeight="1"/>
    <row r="2244" ht="16" customHeight="1"/>
    <row r="2245" ht="16" customHeight="1"/>
    <row r="2246" ht="16" customHeight="1"/>
    <row r="2247" ht="16" customHeight="1"/>
    <row r="2248" ht="16" customHeight="1"/>
    <row r="2249" ht="16" customHeight="1"/>
    <row r="2250" ht="16" customHeight="1"/>
    <row r="2251" ht="16" customHeight="1"/>
    <row r="2252" ht="16" customHeight="1"/>
    <row r="2253" ht="16" customHeight="1"/>
    <row r="2254" ht="16" customHeight="1"/>
    <row r="2255" ht="16" customHeight="1"/>
    <row r="2256" ht="16" customHeight="1"/>
    <row r="2257" ht="16" customHeight="1"/>
    <row r="2258" ht="16" customHeight="1"/>
    <row r="2259" ht="16" customHeight="1"/>
    <row r="2260" ht="16" customHeight="1"/>
    <row r="2261" ht="16" customHeight="1"/>
    <row r="2262" ht="16" customHeight="1"/>
    <row r="2263" ht="16" customHeight="1"/>
    <row r="2264" ht="16" customHeight="1"/>
    <row r="2265" ht="16" customHeight="1"/>
    <row r="2266" ht="16" customHeight="1"/>
    <row r="2267" ht="16" customHeight="1"/>
    <row r="2268" ht="16" customHeight="1"/>
    <row r="2269" ht="16" customHeight="1"/>
    <row r="2270" ht="16" customHeight="1"/>
    <row r="2271" ht="16" customHeight="1"/>
    <row r="2272" ht="16" customHeight="1"/>
    <row r="2273" ht="16" customHeight="1"/>
    <row r="2274" ht="16" customHeight="1"/>
    <row r="2275" ht="16" customHeight="1"/>
    <row r="2276" ht="16" customHeight="1"/>
    <row r="2277" ht="16" customHeight="1"/>
    <row r="2278" ht="16" customHeight="1"/>
    <row r="2279" ht="16" customHeight="1"/>
    <row r="2280" ht="16" customHeight="1"/>
    <row r="2281" ht="16" customHeight="1"/>
    <row r="2282" ht="16" customHeight="1"/>
    <row r="2283" ht="16" customHeight="1"/>
    <row r="2284" ht="16" customHeight="1"/>
    <row r="2285" ht="16" customHeight="1"/>
    <row r="2286" ht="16" customHeight="1"/>
    <row r="2287" ht="16" customHeight="1"/>
    <row r="2288" ht="16" customHeight="1"/>
    <row r="2289" ht="16" customHeight="1"/>
    <row r="2290" ht="16" customHeight="1"/>
    <row r="2291" ht="16" customHeight="1"/>
    <row r="2292" ht="16" customHeight="1"/>
    <row r="2293" ht="16" customHeight="1"/>
    <row r="2294" ht="16" customHeight="1"/>
    <row r="2295" ht="16" customHeight="1"/>
    <row r="2296" ht="16" customHeight="1"/>
    <row r="2297" ht="16" customHeight="1"/>
    <row r="2298" ht="16" customHeight="1"/>
    <row r="2299" ht="16" customHeight="1"/>
    <row r="2300" ht="16" customHeight="1"/>
    <row r="2301" ht="16" customHeight="1"/>
    <row r="2302" ht="16" customHeight="1"/>
    <row r="2303" ht="16" customHeight="1"/>
    <row r="2304" ht="16" customHeight="1"/>
    <row r="2305" ht="16" customHeight="1"/>
    <row r="2306" ht="16" customHeight="1"/>
    <row r="2307" ht="16" customHeight="1"/>
    <row r="2308" ht="16" customHeight="1"/>
    <row r="2309" ht="16" customHeight="1"/>
    <row r="2310" ht="16" customHeight="1"/>
    <row r="2311" ht="16" customHeight="1"/>
    <row r="2312" ht="16" customHeight="1"/>
    <row r="2313" ht="16" customHeight="1"/>
    <row r="2314" ht="16" customHeight="1"/>
    <row r="2315" ht="16" customHeight="1"/>
    <row r="2316" ht="16" customHeight="1"/>
    <row r="2317" ht="16" customHeight="1"/>
    <row r="2318" ht="16" customHeight="1"/>
    <row r="2319" ht="16" customHeight="1"/>
    <row r="2320" ht="16" customHeight="1"/>
    <row r="2321" ht="16" customHeight="1"/>
    <row r="2322" ht="16" customHeight="1"/>
    <row r="2323" ht="16" customHeight="1"/>
    <row r="2324" ht="16" customHeight="1"/>
    <row r="2325" ht="16" customHeight="1"/>
    <row r="2326" ht="16" customHeight="1"/>
    <row r="2327" ht="16" customHeight="1"/>
    <row r="2328" ht="16" customHeight="1"/>
    <row r="2329" ht="16" customHeight="1"/>
    <row r="2330" ht="16" customHeight="1"/>
    <row r="2331" ht="16" customHeight="1"/>
    <row r="2332" ht="16" customHeight="1"/>
    <row r="2333" ht="16" customHeight="1"/>
    <row r="2334" ht="16" customHeight="1"/>
    <row r="2335" ht="16" customHeight="1"/>
    <row r="2336" ht="16" customHeight="1"/>
    <row r="2337" ht="16" customHeight="1"/>
    <row r="2338" ht="16" customHeight="1"/>
    <row r="2339" ht="16" customHeight="1"/>
    <row r="2340" ht="16" customHeight="1"/>
    <row r="2341" ht="16" customHeight="1"/>
    <row r="2342" ht="16" customHeight="1"/>
    <row r="2343" ht="16" customHeight="1"/>
    <row r="2344" ht="16" customHeight="1"/>
    <row r="2345" ht="16" customHeight="1"/>
    <row r="2346" ht="16" customHeight="1"/>
    <row r="2347" ht="16" customHeight="1"/>
    <row r="2348" ht="16" customHeight="1"/>
    <row r="2349" ht="16" customHeight="1"/>
    <row r="2350" ht="16" customHeight="1"/>
    <row r="2351" ht="16" customHeight="1"/>
    <row r="2352" ht="16" customHeight="1"/>
    <row r="2353" ht="16" customHeight="1"/>
    <row r="2354" ht="16" customHeight="1"/>
    <row r="2355" ht="16" customHeight="1"/>
    <row r="2356" ht="16" customHeight="1"/>
    <row r="2357" ht="16" customHeight="1"/>
    <row r="2358" ht="16" customHeight="1"/>
    <row r="2359" ht="16" customHeight="1"/>
    <row r="2360" ht="16" customHeight="1"/>
    <row r="2361" ht="16" customHeight="1"/>
    <row r="2362" ht="16" customHeight="1"/>
    <row r="2363" ht="16" customHeight="1"/>
    <row r="2364" ht="16" customHeight="1"/>
    <row r="2365" ht="16" customHeight="1"/>
    <row r="2366" ht="16" customHeight="1"/>
    <row r="2367" ht="16" customHeight="1"/>
    <row r="2368" ht="16" customHeight="1"/>
    <row r="2369" ht="16" customHeight="1"/>
    <row r="2370" ht="16" customHeight="1"/>
    <row r="2371" ht="16" customHeight="1"/>
    <row r="2372" ht="16" customHeight="1"/>
    <row r="2373" ht="16" customHeight="1"/>
    <row r="2374" ht="16" customHeight="1"/>
    <row r="2375" ht="16" customHeight="1"/>
    <row r="2376" ht="16" customHeight="1"/>
    <row r="2377" ht="16" customHeight="1"/>
    <row r="2378" ht="16" customHeight="1"/>
    <row r="2379" ht="16" customHeight="1"/>
    <row r="2380" ht="16" customHeight="1"/>
    <row r="2381" ht="16" customHeight="1"/>
    <row r="2382" ht="16" customHeight="1"/>
    <row r="2383" ht="16" customHeight="1"/>
    <row r="2384" ht="16" customHeight="1"/>
    <row r="2385" ht="16" customHeight="1"/>
    <row r="2386" ht="16" customHeight="1"/>
    <row r="2387" ht="16" customHeight="1"/>
    <row r="2388" ht="16" customHeight="1"/>
    <row r="2389" ht="16" customHeight="1"/>
    <row r="2390" ht="16" customHeight="1"/>
    <row r="2391" ht="16" customHeight="1"/>
    <row r="2392" ht="16" customHeight="1"/>
    <row r="2393" ht="16" customHeight="1"/>
    <row r="2394" ht="16" customHeight="1"/>
    <row r="2395" ht="16" customHeight="1"/>
    <row r="2396" ht="16" customHeight="1"/>
    <row r="2397" ht="16" customHeight="1"/>
    <row r="2398" ht="16" customHeight="1"/>
    <row r="2399" ht="16" customHeight="1"/>
    <row r="2400" ht="16" customHeight="1"/>
    <row r="2401" ht="16" customHeight="1"/>
    <row r="2402" ht="16" customHeight="1"/>
    <row r="2403" ht="16" customHeight="1"/>
    <row r="2404" ht="16" customHeight="1"/>
    <row r="2405" ht="16" customHeight="1"/>
    <row r="2406" ht="16" customHeight="1"/>
    <row r="2407" ht="16" customHeight="1"/>
    <row r="2408" ht="16" customHeight="1"/>
    <row r="2409" ht="16" customHeight="1"/>
    <row r="2410" ht="16" customHeight="1"/>
    <row r="2411" ht="16" customHeight="1"/>
    <row r="2412" ht="16" customHeight="1"/>
    <row r="2413" ht="16" customHeight="1"/>
    <row r="2414" ht="16" customHeight="1"/>
    <row r="2415" ht="16" customHeight="1"/>
    <row r="2416" ht="16" customHeight="1"/>
    <row r="2417" ht="16" customHeight="1"/>
    <row r="2418" ht="16" customHeight="1"/>
    <row r="2419" ht="16" customHeight="1"/>
    <row r="2420" ht="16" customHeight="1"/>
    <row r="2421" ht="16" customHeight="1"/>
    <row r="2422" ht="16" customHeight="1"/>
    <row r="2423" ht="16" customHeight="1"/>
    <row r="2424" ht="16" customHeight="1"/>
  </sheetData>
  <mergeCells count="3">
    <mergeCell ref="A1:Q1"/>
    <mergeCell ref="A25:B25"/>
    <mergeCell ref="A2:Q2"/>
  </mergeCells>
  <conditionalFormatting sqref="Q5:Q24">
    <cfRule type="expression" dxfId="55" priority="1">
      <formula>Q5="OK"</formula>
    </cfRule>
    <cfRule type="expression" dxfId="54" priority="2">
      <formula>Q5="NEATITINKA"</formula>
    </cfRule>
  </conditionalFormatting>
  <dataValidations count="1">
    <dataValidation type="list" showInputMessage="1" showErrorMessage="1" sqref="D5:D24" xr:uid="{A39D675C-FFB9-4DAA-92AC-DD54711C73DB}">
      <formula1>$T$5:$T$12</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6"/>
  <sheetViews>
    <sheetView tabSelected="1" workbookViewId="0">
      <selection activeCell="B13" sqref="B13"/>
    </sheetView>
  </sheetViews>
  <sheetFormatPr defaultRowHeight="14"/>
  <cols>
    <col min="1" max="1" width="8.6640625" customWidth="1"/>
    <col min="2" max="2" width="48.33203125" customWidth="1"/>
    <col min="3" max="12" width="13" customWidth="1"/>
  </cols>
  <sheetData>
    <row r="1" spans="1:12" ht="19.5">
      <c r="A1" s="120" t="s">
        <v>18</v>
      </c>
      <c r="B1" s="120"/>
      <c r="C1" s="120"/>
      <c r="D1" s="120"/>
      <c r="E1" s="120"/>
      <c r="F1" s="120"/>
      <c r="G1" s="120"/>
      <c r="H1" s="120"/>
      <c r="I1" s="120"/>
      <c r="J1" s="120"/>
      <c r="K1" s="120"/>
      <c r="L1" s="120"/>
    </row>
    <row r="2" spans="1:12" ht="13.75" customHeight="1">
      <c r="A2" s="121" t="s">
        <v>283</v>
      </c>
      <c r="B2" s="121"/>
      <c r="C2" s="121"/>
      <c r="D2" s="121"/>
      <c r="E2" s="121"/>
      <c r="F2" s="121"/>
      <c r="G2" s="121"/>
      <c r="H2" s="121"/>
      <c r="I2" s="121"/>
      <c r="J2" s="121"/>
      <c r="K2" s="121"/>
      <c r="L2" s="121"/>
    </row>
    <row r="3" spans="1:12">
      <c r="A3" s="2"/>
      <c r="B3" s="2"/>
      <c r="C3" s="2"/>
      <c r="D3" s="2"/>
      <c r="E3" s="2"/>
      <c r="F3" s="2"/>
      <c r="G3" s="2"/>
      <c r="H3" s="2"/>
      <c r="I3" s="2"/>
      <c r="J3" s="2"/>
      <c r="K3" s="2"/>
      <c r="L3" s="2"/>
    </row>
    <row r="4" spans="1:12" ht="14.5">
      <c r="A4" s="6" t="s">
        <v>177</v>
      </c>
      <c r="B4" s="6"/>
      <c r="C4" s="6"/>
      <c r="D4" s="6"/>
      <c r="E4" s="6"/>
      <c r="F4" s="6"/>
      <c r="G4" s="6"/>
      <c r="H4" s="6"/>
      <c r="I4" s="6"/>
      <c r="J4" s="6"/>
      <c r="K4" s="6"/>
      <c r="L4" s="6"/>
    </row>
    <row r="5" spans="1:12">
      <c r="A5" s="8" t="s">
        <v>1</v>
      </c>
      <c r="B5" s="8" t="s">
        <v>22</v>
      </c>
      <c r="C5" s="8">
        <v>2026</v>
      </c>
      <c r="D5" s="8">
        <v>2027</v>
      </c>
      <c r="E5" s="8">
        <v>2028</v>
      </c>
      <c r="F5" s="8">
        <v>2029</v>
      </c>
      <c r="G5" s="8">
        <v>2030</v>
      </c>
      <c r="H5" s="8">
        <v>2031</v>
      </c>
      <c r="I5" s="8">
        <v>2032</v>
      </c>
      <c r="J5" s="8">
        <v>2033</v>
      </c>
      <c r="K5" s="8">
        <v>2034</v>
      </c>
      <c r="L5" s="8">
        <v>2035</v>
      </c>
    </row>
    <row r="6" spans="1:12">
      <c r="A6" s="13" t="s">
        <v>96</v>
      </c>
      <c r="B6" s="14" t="s">
        <v>180</v>
      </c>
      <c r="C6" s="15">
        <f t="shared" ref="C6:L6" si="0">SUM(C7:C9)</f>
        <v>0</v>
      </c>
      <c r="D6" s="15">
        <f t="shared" si="0"/>
        <v>0</v>
      </c>
      <c r="E6" s="15">
        <f t="shared" si="0"/>
        <v>0</v>
      </c>
      <c r="F6" s="15">
        <f t="shared" si="0"/>
        <v>0</v>
      </c>
      <c r="G6" s="15">
        <f t="shared" si="0"/>
        <v>0</v>
      </c>
      <c r="H6" s="15">
        <f t="shared" si="0"/>
        <v>0</v>
      </c>
      <c r="I6" s="15">
        <f t="shared" si="0"/>
        <v>0</v>
      </c>
      <c r="J6" s="15">
        <f t="shared" si="0"/>
        <v>0</v>
      </c>
      <c r="K6" s="15">
        <f t="shared" si="0"/>
        <v>0</v>
      </c>
      <c r="L6" s="15">
        <f t="shared" si="0"/>
        <v>0</v>
      </c>
    </row>
    <row r="7" spans="1:12" s="106" customFormat="1">
      <c r="A7" s="103" t="s">
        <v>191</v>
      </c>
      <c r="B7" s="104" t="s">
        <v>287</v>
      </c>
      <c r="C7" s="105"/>
      <c r="D7" s="105"/>
      <c r="E7" s="105"/>
      <c r="F7" s="105"/>
      <c r="G7" s="105"/>
      <c r="H7" s="105"/>
      <c r="I7" s="105"/>
      <c r="J7" s="105"/>
      <c r="K7" s="105"/>
      <c r="L7" s="105"/>
    </row>
    <row r="8" spans="1:12" s="106" customFormat="1">
      <c r="A8" s="103" t="s">
        <v>192</v>
      </c>
      <c r="B8" s="104" t="s">
        <v>178</v>
      </c>
      <c r="C8" s="105"/>
      <c r="D8" s="105"/>
      <c r="E8" s="105"/>
      <c r="F8" s="105"/>
      <c r="G8" s="105"/>
      <c r="H8" s="105"/>
      <c r="I8" s="105"/>
      <c r="J8" s="105"/>
      <c r="K8" s="105"/>
      <c r="L8" s="105"/>
    </row>
    <row r="9" spans="1:12" s="106" customFormat="1">
      <c r="A9" s="103" t="s">
        <v>193</v>
      </c>
      <c r="B9" s="107" t="s">
        <v>179</v>
      </c>
      <c r="C9" s="108"/>
      <c r="D9" s="108"/>
      <c r="E9" s="108"/>
      <c r="F9" s="108"/>
      <c r="G9" s="108"/>
      <c r="H9" s="108"/>
      <c r="I9" s="108"/>
      <c r="J9" s="108"/>
      <c r="K9" s="108"/>
      <c r="L9" s="108"/>
    </row>
    <row r="10" spans="1:12">
      <c r="A10" s="13" t="s">
        <v>97</v>
      </c>
      <c r="B10" s="14" t="s">
        <v>184</v>
      </c>
      <c r="C10" s="15">
        <f t="shared" ref="C10:L10" si="1">C6-C13-C11-C12</f>
        <v>0</v>
      </c>
      <c r="D10" s="15">
        <f t="shared" si="1"/>
        <v>0</v>
      </c>
      <c r="E10" s="15">
        <f t="shared" si="1"/>
        <v>0</v>
      </c>
      <c r="F10" s="15">
        <f t="shared" si="1"/>
        <v>0</v>
      </c>
      <c r="G10" s="15">
        <f t="shared" si="1"/>
        <v>0</v>
      </c>
      <c r="H10" s="15">
        <f t="shared" si="1"/>
        <v>0</v>
      </c>
      <c r="I10" s="15">
        <f t="shared" si="1"/>
        <v>0</v>
      </c>
      <c r="J10" s="15">
        <f t="shared" si="1"/>
        <v>0</v>
      </c>
      <c r="K10" s="15">
        <f t="shared" si="1"/>
        <v>0</v>
      </c>
      <c r="L10" s="15">
        <f t="shared" si="1"/>
        <v>0</v>
      </c>
    </row>
    <row r="11" spans="1:12" s="106" customFormat="1">
      <c r="A11" s="103" t="s">
        <v>194</v>
      </c>
      <c r="B11" s="104" t="s">
        <v>181</v>
      </c>
      <c r="C11" s="105"/>
      <c r="D11" s="105"/>
      <c r="E11" s="105"/>
      <c r="F11" s="105"/>
      <c r="G11" s="105"/>
      <c r="H11" s="105"/>
      <c r="I11" s="105"/>
      <c r="J11" s="105"/>
      <c r="K11" s="105"/>
      <c r="L11" s="105"/>
    </row>
    <row r="12" spans="1:12" s="106" customFormat="1">
      <c r="A12" s="103" t="s">
        <v>195</v>
      </c>
      <c r="B12" s="104" t="s">
        <v>182</v>
      </c>
      <c r="C12" s="105"/>
      <c r="D12" s="105"/>
      <c r="E12" s="105"/>
      <c r="F12" s="105"/>
      <c r="G12" s="105"/>
      <c r="H12" s="105"/>
      <c r="I12" s="105"/>
      <c r="J12" s="105"/>
      <c r="K12" s="105"/>
      <c r="L12" s="105"/>
    </row>
    <row r="13" spans="1:12" s="106" customFormat="1">
      <c r="A13" s="103" t="s">
        <v>196</v>
      </c>
      <c r="B13" s="107" t="s">
        <v>183</v>
      </c>
      <c r="C13" s="108"/>
      <c r="D13" s="108"/>
      <c r="E13" s="108"/>
      <c r="F13" s="108"/>
      <c r="G13" s="108"/>
      <c r="H13" s="108"/>
      <c r="I13" s="108"/>
      <c r="J13" s="108"/>
      <c r="K13" s="108"/>
      <c r="L13" s="108"/>
    </row>
    <row r="14" spans="1:12">
      <c r="A14" s="16" t="s">
        <v>201</v>
      </c>
      <c r="B14" s="17"/>
      <c r="C14" s="18"/>
      <c r="D14" s="18"/>
      <c r="E14" s="18"/>
      <c r="F14" s="18"/>
      <c r="G14" s="18"/>
      <c r="H14" s="18"/>
      <c r="I14" s="18"/>
      <c r="J14" s="18"/>
      <c r="K14" s="18"/>
      <c r="L14" s="18"/>
    </row>
    <row r="15" spans="1:12">
      <c r="A15" s="13" t="s">
        <v>98</v>
      </c>
      <c r="B15" s="14" t="s">
        <v>129</v>
      </c>
      <c r="C15" s="15">
        <f>SUM(C16:C17)</f>
        <v>0</v>
      </c>
      <c r="D15" s="15">
        <f t="shared" ref="D15:L15" si="2">SUM(D16:D17)</f>
        <v>0</v>
      </c>
      <c r="E15" s="15">
        <f t="shared" si="2"/>
        <v>0</v>
      </c>
      <c r="F15" s="15">
        <f t="shared" si="2"/>
        <v>0</v>
      </c>
      <c r="G15" s="15">
        <f t="shared" si="2"/>
        <v>0</v>
      </c>
      <c r="H15" s="15">
        <f t="shared" si="2"/>
        <v>0</v>
      </c>
      <c r="I15" s="15">
        <f t="shared" si="2"/>
        <v>0</v>
      </c>
      <c r="J15" s="15">
        <f t="shared" si="2"/>
        <v>0</v>
      </c>
      <c r="K15" s="15">
        <f t="shared" si="2"/>
        <v>0</v>
      </c>
      <c r="L15" s="15">
        <f t="shared" si="2"/>
        <v>0</v>
      </c>
    </row>
    <row r="16" spans="1:12" s="106" customFormat="1">
      <c r="A16" s="103" t="s">
        <v>197</v>
      </c>
      <c r="B16" s="104" t="s">
        <v>185</v>
      </c>
      <c r="C16" s="105"/>
      <c r="D16" s="105"/>
      <c r="E16" s="105"/>
      <c r="F16" s="105"/>
      <c r="G16" s="105"/>
      <c r="H16" s="105"/>
      <c r="I16" s="105"/>
      <c r="J16" s="105"/>
      <c r="K16" s="105"/>
      <c r="L16" s="105"/>
    </row>
    <row r="17" spans="1:12" s="106" customFormat="1">
      <c r="A17" s="103" t="s">
        <v>198</v>
      </c>
      <c r="B17" s="107" t="s">
        <v>186</v>
      </c>
      <c r="C17" s="108"/>
      <c r="D17" s="108"/>
      <c r="E17" s="108"/>
      <c r="F17" s="108"/>
      <c r="G17" s="108"/>
      <c r="H17" s="108"/>
      <c r="I17" s="108"/>
      <c r="J17" s="108"/>
      <c r="K17" s="108"/>
      <c r="L17" s="108"/>
    </row>
    <row r="18" spans="1:12" s="106" customFormat="1">
      <c r="A18" s="109" t="s">
        <v>99</v>
      </c>
      <c r="B18" s="110" t="s">
        <v>187</v>
      </c>
      <c r="C18" s="108"/>
      <c r="D18" s="108"/>
      <c r="E18" s="108"/>
      <c r="F18" s="108"/>
      <c r="G18" s="108"/>
      <c r="H18" s="108"/>
      <c r="I18" s="108"/>
      <c r="J18" s="108"/>
      <c r="K18" s="108"/>
      <c r="L18" s="108"/>
    </row>
    <row r="19" spans="1:12">
      <c r="A19" s="13" t="s">
        <v>100</v>
      </c>
      <c r="B19" s="14" t="s">
        <v>190</v>
      </c>
      <c r="C19" s="15">
        <f t="shared" ref="C19:L19" si="3">SUM(C20:C21)</f>
        <v>0</v>
      </c>
      <c r="D19" s="15">
        <f t="shared" si="3"/>
        <v>0</v>
      </c>
      <c r="E19" s="15">
        <f t="shared" si="3"/>
        <v>0</v>
      </c>
      <c r="F19" s="15">
        <f t="shared" si="3"/>
        <v>0</v>
      </c>
      <c r="G19" s="15">
        <f t="shared" si="3"/>
        <v>0</v>
      </c>
      <c r="H19" s="15">
        <f t="shared" si="3"/>
        <v>0</v>
      </c>
      <c r="I19" s="15">
        <f t="shared" si="3"/>
        <v>0</v>
      </c>
      <c r="J19" s="15">
        <f t="shared" si="3"/>
        <v>0</v>
      </c>
      <c r="K19" s="15">
        <f t="shared" si="3"/>
        <v>0</v>
      </c>
      <c r="L19" s="15">
        <f t="shared" si="3"/>
        <v>0</v>
      </c>
    </row>
    <row r="20" spans="1:12" s="106" customFormat="1">
      <c r="A20" s="103" t="s">
        <v>199</v>
      </c>
      <c r="B20" s="104" t="s">
        <v>188</v>
      </c>
      <c r="C20" s="105"/>
      <c r="D20" s="105"/>
      <c r="E20" s="105"/>
      <c r="F20" s="105"/>
      <c r="G20" s="105"/>
      <c r="H20" s="105"/>
      <c r="I20" s="105"/>
      <c r="J20" s="105"/>
      <c r="K20" s="105"/>
      <c r="L20" s="105"/>
    </row>
    <row r="21" spans="1:12" s="106" customFormat="1">
      <c r="A21" s="103" t="s">
        <v>200</v>
      </c>
      <c r="B21" s="107" t="s">
        <v>189</v>
      </c>
      <c r="C21" s="108"/>
      <c r="D21" s="108"/>
      <c r="E21" s="108"/>
      <c r="F21" s="108"/>
      <c r="G21" s="108"/>
      <c r="H21" s="108"/>
      <c r="I21" s="108"/>
      <c r="J21" s="108"/>
      <c r="K21" s="108"/>
      <c r="L21" s="108"/>
    </row>
    <row r="22" spans="1:12" ht="8" customHeight="1">
      <c r="A22" s="2"/>
      <c r="B22" s="2"/>
      <c r="C22" s="2"/>
      <c r="D22" s="2"/>
      <c r="E22" s="2"/>
      <c r="F22" s="2"/>
      <c r="G22" s="2"/>
      <c r="H22" s="2"/>
      <c r="I22" s="2"/>
      <c r="J22" s="2"/>
      <c r="K22" s="2"/>
      <c r="L22" s="2"/>
    </row>
    <row r="23" spans="1:12" ht="8" customHeight="1">
      <c r="A23" s="2"/>
      <c r="B23" s="2"/>
      <c r="C23" s="2"/>
      <c r="D23" s="2"/>
      <c r="E23" s="2"/>
      <c r="F23" s="2"/>
      <c r="G23" s="2"/>
      <c r="H23" s="2"/>
      <c r="I23" s="2"/>
      <c r="J23" s="2"/>
      <c r="K23" s="2"/>
      <c r="L23" s="2"/>
    </row>
    <row r="24" spans="1:12" ht="8" customHeight="1">
      <c r="A24" s="2"/>
      <c r="B24" s="2"/>
      <c r="C24" s="2"/>
      <c r="D24" s="2"/>
      <c r="E24" s="2"/>
      <c r="F24" s="2"/>
      <c r="G24" s="2"/>
      <c r="H24" s="2"/>
      <c r="I24" s="2"/>
      <c r="J24" s="2"/>
      <c r="K24" s="2"/>
      <c r="L24" s="2"/>
    </row>
    <row r="25" spans="1:12" ht="14.5">
      <c r="A25" s="6" t="s">
        <v>202</v>
      </c>
      <c r="B25" s="6"/>
      <c r="C25" s="6"/>
      <c r="D25" s="6"/>
      <c r="E25" s="6"/>
      <c r="F25" s="6"/>
      <c r="G25" s="6"/>
      <c r="H25" s="6"/>
      <c r="I25" s="6"/>
      <c r="J25" s="6"/>
      <c r="K25" s="6"/>
      <c r="L25" s="6"/>
    </row>
    <row r="26" spans="1:12">
      <c r="A26" s="8" t="s">
        <v>1</v>
      </c>
      <c r="B26" s="8" t="s">
        <v>22</v>
      </c>
      <c r="C26" s="8">
        <v>2026</v>
      </c>
      <c r="D26" s="8">
        <v>2027</v>
      </c>
      <c r="E26" s="8">
        <v>2028</v>
      </c>
      <c r="F26" s="8">
        <v>2029</v>
      </c>
      <c r="G26" s="8">
        <v>2030</v>
      </c>
      <c r="H26" s="8">
        <v>2031</v>
      </c>
      <c r="I26" s="8">
        <v>2032</v>
      </c>
      <c r="J26" s="8">
        <v>2033</v>
      </c>
      <c r="K26" s="8">
        <v>2034</v>
      </c>
      <c r="L26" s="8">
        <v>2035</v>
      </c>
    </row>
    <row r="27" spans="1:12">
      <c r="A27" s="16" t="s">
        <v>96</v>
      </c>
      <c r="B27" s="19" t="s">
        <v>127</v>
      </c>
      <c r="C27" s="96">
        <f t="shared" ref="C27:L27" si="4">C6</f>
        <v>0</v>
      </c>
      <c r="D27" s="96">
        <f t="shared" si="4"/>
        <v>0</v>
      </c>
      <c r="E27" s="96">
        <f t="shared" si="4"/>
        <v>0</v>
      </c>
      <c r="F27" s="96">
        <f t="shared" si="4"/>
        <v>0</v>
      </c>
      <c r="G27" s="96">
        <f t="shared" si="4"/>
        <v>0</v>
      </c>
      <c r="H27" s="96">
        <f t="shared" si="4"/>
        <v>0</v>
      </c>
      <c r="I27" s="96">
        <f t="shared" si="4"/>
        <v>0</v>
      </c>
      <c r="J27" s="96">
        <f t="shared" si="4"/>
        <v>0</v>
      </c>
      <c r="K27" s="96">
        <f t="shared" si="4"/>
        <v>0</v>
      </c>
      <c r="L27" s="96">
        <f t="shared" si="4"/>
        <v>0</v>
      </c>
    </row>
    <row r="28" spans="1:12">
      <c r="A28" s="16" t="s">
        <v>97</v>
      </c>
      <c r="B28" s="19" t="s">
        <v>128</v>
      </c>
      <c r="C28" s="96">
        <f t="shared" ref="C28:L28" si="5">C13</f>
        <v>0</v>
      </c>
      <c r="D28" s="96">
        <f t="shared" si="5"/>
        <v>0</v>
      </c>
      <c r="E28" s="96">
        <f t="shared" si="5"/>
        <v>0</v>
      </c>
      <c r="F28" s="96">
        <f t="shared" si="5"/>
        <v>0</v>
      </c>
      <c r="G28" s="96">
        <f t="shared" si="5"/>
        <v>0</v>
      </c>
      <c r="H28" s="96">
        <f t="shared" si="5"/>
        <v>0</v>
      </c>
      <c r="I28" s="96">
        <f t="shared" si="5"/>
        <v>0</v>
      </c>
      <c r="J28" s="96">
        <f t="shared" si="5"/>
        <v>0</v>
      </c>
      <c r="K28" s="96">
        <f t="shared" si="5"/>
        <v>0</v>
      </c>
      <c r="L28" s="96">
        <f t="shared" si="5"/>
        <v>0</v>
      </c>
    </row>
    <row r="29" spans="1:12">
      <c r="A29" s="16" t="s">
        <v>98</v>
      </c>
      <c r="B29" s="19" t="s">
        <v>307</v>
      </c>
      <c r="C29" s="96">
        <f t="shared" ref="C29:L29" si="6">C10</f>
        <v>0</v>
      </c>
      <c r="D29" s="96">
        <f t="shared" si="6"/>
        <v>0</v>
      </c>
      <c r="E29" s="96">
        <f t="shared" si="6"/>
        <v>0</v>
      </c>
      <c r="F29" s="96">
        <f t="shared" si="6"/>
        <v>0</v>
      </c>
      <c r="G29" s="96">
        <f t="shared" si="6"/>
        <v>0</v>
      </c>
      <c r="H29" s="96">
        <f t="shared" si="6"/>
        <v>0</v>
      </c>
      <c r="I29" s="96">
        <f t="shared" si="6"/>
        <v>0</v>
      </c>
      <c r="J29" s="96">
        <f t="shared" si="6"/>
        <v>0</v>
      </c>
      <c r="K29" s="96">
        <f t="shared" si="6"/>
        <v>0</v>
      </c>
      <c r="L29" s="96">
        <f t="shared" si="6"/>
        <v>0</v>
      </c>
    </row>
    <row r="30" spans="1:12">
      <c r="A30" s="16" t="s">
        <v>99</v>
      </c>
      <c r="B30" s="19" t="s">
        <v>129</v>
      </c>
      <c r="C30" s="96">
        <f t="shared" ref="C30:L30" si="7">C15</f>
        <v>0</v>
      </c>
      <c r="D30" s="96">
        <f t="shared" si="7"/>
        <v>0</v>
      </c>
      <c r="E30" s="96">
        <f t="shared" si="7"/>
        <v>0</v>
      </c>
      <c r="F30" s="96">
        <f t="shared" si="7"/>
        <v>0</v>
      </c>
      <c r="G30" s="96">
        <f t="shared" si="7"/>
        <v>0</v>
      </c>
      <c r="H30" s="96">
        <f t="shared" si="7"/>
        <v>0</v>
      </c>
      <c r="I30" s="96">
        <f t="shared" si="7"/>
        <v>0</v>
      </c>
      <c r="J30" s="96">
        <f t="shared" si="7"/>
        <v>0</v>
      </c>
      <c r="K30" s="96">
        <f t="shared" si="7"/>
        <v>0</v>
      </c>
      <c r="L30" s="96">
        <f t="shared" si="7"/>
        <v>0</v>
      </c>
    </row>
    <row r="31" spans="1:12">
      <c r="A31" s="16" t="s">
        <v>100</v>
      </c>
      <c r="B31" s="19" t="s">
        <v>130</v>
      </c>
      <c r="C31" s="96">
        <f t="shared" ref="C31:L31" si="8">C18</f>
        <v>0</v>
      </c>
      <c r="D31" s="96">
        <f t="shared" si="8"/>
        <v>0</v>
      </c>
      <c r="E31" s="96">
        <f t="shared" si="8"/>
        <v>0</v>
      </c>
      <c r="F31" s="96">
        <f t="shared" si="8"/>
        <v>0</v>
      </c>
      <c r="G31" s="96">
        <f t="shared" si="8"/>
        <v>0</v>
      </c>
      <c r="H31" s="96">
        <f t="shared" si="8"/>
        <v>0</v>
      </c>
      <c r="I31" s="96">
        <f t="shared" si="8"/>
        <v>0</v>
      </c>
      <c r="J31" s="96">
        <f t="shared" si="8"/>
        <v>0</v>
      </c>
      <c r="K31" s="96">
        <f t="shared" si="8"/>
        <v>0</v>
      </c>
      <c r="L31" s="96">
        <f t="shared" si="8"/>
        <v>0</v>
      </c>
    </row>
    <row r="32" spans="1:12">
      <c r="A32" s="16" t="s">
        <v>101</v>
      </c>
      <c r="B32" s="19" t="s">
        <v>131</v>
      </c>
      <c r="C32" s="96">
        <f t="shared" ref="C32:L32" si="9">C19</f>
        <v>0</v>
      </c>
      <c r="D32" s="96">
        <f t="shared" si="9"/>
        <v>0</v>
      </c>
      <c r="E32" s="96">
        <f t="shared" si="9"/>
        <v>0</v>
      </c>
      <c r="F32" s="96">
        <f t="shared" si="9"/>
        <v>0</v>
      </c>
      <c r="G32" s="96">
        <f t="shared" si="9"/>
        <v>0</v>
      </c>
      <c r="H32" s="96">
        <f t="shared" si="9"/>
        <v>0</v>
      </c>
      <c r="I32" s="96">
        <f t="shared" si="9"/>
        <v>0</v>
      </c>
      <c r="J32" s="96">
        <f t="shared" si="9"/>
        <v>0</v>
      </c>
      <c r="K32" s="96">
        <f t="shared" si="9"/>
        <v>0</v>
      </c>
      <c r="L32" s="96">
        <f t="shared" si="9"/>
        <v>0</v>
      </c>
    </row>
    <row r="33" spans="1:12">
      <c r="A33" s="16" t="s">
        <v>102</v>
      </c>
      <c r="B33" s="19" t="s">
        <v>132</v>
      </c>
      <c r="C33" s="96">
        <f t="shared" ref="C33:L33" si="10">IF(OR(C30="",C31=""),"",C30-C31)</f>
        <v>0</v>
      </c>
      <c r="D33" s="96">
        <f t="shared" si="10"/>
        <v>0</v>
      </c>
      <c r="E33" s="96">
        <f t="shared" si="10"/>
        <v>0</v>
      </c>
      <c r="F33" s="96">
        <f t="shared" si="10"/>
        <v>0</v>
      </c>
      <c r="G33" s="96">
        <f t="shared" si="10"/>
        <v>0</v>
      </c>
      <c r="H33" s="96">
        <f t="shared" si="10"/>
        <v>0</v>
      </c>
      <c r="I33" s="96">
        <f t="shared" si="10"/>
        <v>0</v>
      </c>
      <c r="J33" s="96">
        <f t="shared" si="10"/>
        <v>0</v>
      </c>
      <c r="K33" s="96">
        <f t="shared" si="10"/>
        <v>0</v>
      </c>
      <c r="L33" s="96">
        <f t="shared" si="10"/>
        <v>0</v>
      </c>
    </row>
    <row r="34" spans="1:12">
      <c r="A34" s="16" t="s">
        <v>103</v>
      </c>
      <c r="B34" s="19" t="s">
        <v>308</v>
      </c>
      <c r="C34" s="97" t="str">
        <f t="shared" ref="C34:L34" si="11">IF(OR(C33="",C29="",C29&lt;=0),"",C33/C29)</f>
        <v/>
      </c>
      <c r="D34" s="97" t="str">
        <f t="shared" si="11"/>
        <v/>
      </c>
      <c r="E34" s="97" t="str">
        <f t="shared" si="11"/>
        <v/>
      </c>
      <c r="F34" s="97" t="str">
        <f t="shared" si="11"/>
        <v/>
      </c>
      <c r="G34" s="97" t="str">
        <f t="shared" si="11"/>
        <v/>
      </c>
      <c r="H34" s="97" t="str">
        <f t="shared" si="11"/>
        <v/>
      </c>
      <c r="I34" s="97" t="str">
        <f t="shared" si="11"/>
        <v/>
      </c>
      <c r="J34" s="97" t="str">
        <f t="shared" si="11"/>
        <v/>
      </c>
      <c r="K34" s="97" t="str">
        <f t="shared" si="11"/>
        <v/>
      </c>
      <c r="L34" s="97" t="str">
        <f t="shared" si="11"/>
        <v/>
      </c>
    </row>
    <row r="35" spans="1:12">
      <c r="A35" s="16" t="s">
        <v>104</v>
      </c>
      <c r="B35" s="19" t="s">
        <v>24</v>
      </c>
      <c r="C35" s="97" t="str">
        <f t="shared" ref="C35:L35" si="12">IF(OR(C29="",C32="",C32=0),"",C29/C32)</f>
        <v/>
      </c>
      <c r="D35" s="97" t="str">
        <f t="shared" si="12"/>
        <v/>
      </c>
      <c r="E35" s="97" t="str">
        <f t="shared" si="12"/>
        <v/>
      </c>
      <c r="F35" s="97" t="str">
        <f t="shared" si="12"/>
        <v/>
      </c>
      <c r="G35" s="97" t="str">
        <f t="shared" si="12"/>
        <v/>
      </c>
      <c r="H35" s="97" t="str">
        <f t="shared" si="12"/>
        <v/>
      </c>
      <c r="I35" s="97" t="str">
        <f t="shared" si="12"/>
        <v/>
      </c>
      <c r="J35" s="97" t="str">
        <f t="shared" si="12"/>
        <v/>
      </c>
      <c r="K35" s="97" t="str">
        <f t="shared" si="12"/>
        <v/>
      </c>
      <c r="L35" s="97" t="str">
        <f t="shared" si="12"/>
        <v/>
      </c>
    </row>
    <row r="36" spans="1:12">
      <c r="A36" s="16" t="s">
        <v>105</v>
      </c>
      <c r="B36" s="19" t="s">
        <v>25</v>
      </c>
      <c r="C36" s="98" t="str">
        <f t="shared" ref="C36:L36" si="13">IF(COUNTA(C7:C9,C11:C13,C16:C18,C20:C21)=0,"",IF(C29&lt;=0,"NEATITINKA",IF(AND(C34&lt;&gt;"",C34&lt;=5.5,OR(C32=0,AND(C35&lt;&gt;"",C35&gt;=1.2))),"ATITINKA","NEATITINKA")))</f>
        <v/>
      </c>
      <c r="D36" s="98" t="str">
        <f t="shared" si="13"/>
        <v/>
      </c>
      <c r="E36" s="98" t="str">
        <f t="shared" si="13"/>
        <v/>
      </c>
      <c r="F36" s="98" t="str">
        <f t="shared" si="13"/>
        <v/>
      </c>
      <c r="G36" s="98" t="str">
        <f t="shared" si="13"/>
        <v/>
      </c>
      <c r="H36" s="98" t="str">
        <f t="shared" si="13"/>
        <v/>
      </c>
      <c r="I36" s="98" t="str">
        <f t="shared" si="13"/>
        <v/>
      </c>
      <c r="J36" s="98" t="str">
        <f t="shared" si="13"/>
        <v/>
      </c>
      <c r="K36" s="98" t="str">
        <f t="shared" si="13"/>
        <v/>
      </c>
      <c r="L36" s="98" t="str">
        <f t="shared" si="13"/>
        <v/>
      </c>
    </row>
  </sheetData>
  <mergeCells count="2">
    <mergeCell ref="A1:L1"/>
    <mergeCell ref="A2:L2"/>
  </mergeCells>
  <conditionalFormatting sqref="C34:L34">
    <cfRule type="expression" dxfId="53" priority="3">
      <formula>AND(C34&lt;&gt;"",C34&lt;=5.5)</formula>
    </cfRule>
    <cfRule type="expression" dxfId="52" priority="4">
      <formula>AND(C34&lt;&gt;"",C34&gt;5.5)</formula>
    </cfRule>
  </conditionalFormatting>
  <conditionalFormatting sqref="C35:L35">
    <cfRule type="expression" dxfId="51" priority="5">
      <formula>AND(C35&lt;&gt;"",C35&gt;=1.2)</formula>
    </cfRule>
    <cfRule type="expression" dxfId="50" priority="6">
      <formula>AND(C35&lt;&gt;"",C35&lt;1.2)</formula>
    </cfRule>
  </conditionalFormatting>
  <conditionalFormatting sqref="C36:L36">
    <cfRule type="expression" dxfId="49" priority="1">
      <formula>C36="ATITINKA"</formula>
    </cfRule>
    <cfRule type="expression" dxfId="48" priority="2">
      <formula>C36="NEATITINKA"</formula>
    </cfRule>
  </conditionalFormatting>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3"/>
  <sheetViews>
    <sheetView workbookViewId="0">
      <selection activeCell="B2" sqref="B2"/>
    </sheetView>
  </sheetViews>
  <sheetFormatPr defaultRowHeight="14"/>
  <cols>
    <col min="1" max="1" width="9.1640625" customWidth="1"/>
    <col min="2" max="2" width="38.33203125" customWidth="1"/>
    <col min="3" max="4" width="11.33203125" customWidth="1"/>
    <col min="5" max="5" width="18.33203125" customWidth="1"/>
    <col min="6" max="15" width="12.5" customWidth="1"/>
    <col min="16" max="16" width="13.33203125" customWidth="1"/>
  </cols>
  <sheetData>
    <row r="1" spans="1:16" ht="19.5">
      <c r="A1" s="120" t="s">
        <v>27</v>
      </c>
      <c r="B1" s="120"/>
      <c r="C1" s="120"/>
      <c r="D1" s="120"/>
      <c r="E1" s="120"/>
      <c r="F1" s="120"/>
      <c r="G1" s="120"/>
      <c r="H1" s="120"/>
      <c r="I1" s="120"/>
      <c r="J1" s="120"/>
      <c r="K1" s="120"/>
      <c r="L1" s="120"/>
      <c r="M1" s="120"/>
      <c r="N1" s="120"/>
      <c r="O1" s="120"/>
      <c r="P1" s="120"/>
    </row>
    <row r="2" spans="1:16" s="106" customFormat="1">
      <c r="A2" s="111" t="s">
        <v>28</v>
      </c>
      <c r="B2" s="112" t="s">
        <v>29</v>
      </c>
      <c r="C2" s="128" t="s">
        <v>30</v>
      </c>
      <c r="D2" s="128"/>
      <c r="E2" s="128"/>
      <c r="F2" s="128"/>
      <c r="G2" s="128"/>
      <c r="H2" s="128"/>
      <c r="I2" s="128"/>
      <c r="J2" s="128"/>
      <c r="K2" s="128"/>
      <c r="L2" s="128"/>
      <c r="M2" s="128"/>
      <c r="N2" s="128"/>
      <c r="O2" s="128"/>
      <c r="P2" s="128"/>
    </row>
    <row r="3" spans="1:16">
      <c r="A3" s="2"/>
      <c r="B3" s="2"/>
      <c r="C3" s="2"/>
      <c r="D3" s="2"/>
      <c r="E3" s="2"/>
      <c r="F3" s="2"/>
      <c r="G3" s="2"/>
      <c r="H3" s="2"/>
      <c r="I3" s="2"/>
      <c r="J3" s="2"/>
      <c r="K3" s="2"/>
      <c r="L3" s="2"/>
      <c r="M3" s="2"/>
      <c r="N3" s="2"/>
      <c r="O3" s="2"/>
      <c r="P3" s="2"/>
    </row>
    <row r="4" spans="1:16">
      <c r="E4" s="8" t="s">
        <v>22</v>
      </c>
      <c r="F4" s="8">
        <f>'3. Finansinės prielaidos'!C26</f>
        <v>2026</v>
      </c>
      <c r="G4" s="8">
        <f>'3. Finansinės prielaidos'!D26</f>
        <v>2027</v>
      </c>
      <c r="H4" s="8">
        <f>'3. Finansinės prielaidos'!E26</f>
        <v>2028</v>
      </c>
      <c r="I4" s="8">
        <f>'3. Finansinės prielaidos'!F26</f>
        <v>2029</v>
      </c>
      <c r="J4" s="8">
        <f>'3. Finansinės prielaidos'!G26</f>
        <v>2030</v>
      </c>
      <c r="K4" s="8">
        <f>'3. Finansinės prielaidos'!H26</f>
        <v>2031</v>
      </c>
      <c r="L4" s="8">
        <f>'3. Finansinės prielaidos'!I26</f>
        <v>2032</v>
      </c>
      <c r="M4" s="8">
        <f>'3. Finansinės prielaidos'!J26</f>
        <v>2033</v>
      </c>
      <c r="N4" s="8">
        <f>'3. Finansinės prielaidos'!K26</f>
        <v>2034</v>
      </c>
      <c r="O4" s="8">
        <f>'3. Finansinės prielaidos'!L26</f>
        <v>2035</v>
      </c>
      <c r="P4" s="2"/>
    </row>
    <row r="5" spans="1:16">
      <c r="E5" s="24" t="s">
        <v>156</v>
      </c>
      <c r="F5" s="25">
        <f t="shared" ref="F5:O5" si="0">F29</f>
        <v>0</v>
      </c>
      <c r="G5" s="25">
        <f t="shared" si="0"/>
        <v>0</v>
      </c>
      <c r="H5" s="25">
        <f t="shared" si="0"/>
        <v>0</v>
      </c>
      <c r="I5" s="25">
        <f t="shared" si="0"/>
        <v>0</v>
      </c>
      <c r="J5" s="25">
        <f t="shared" si="0"/>
        <v>0</v>
      </c>
      <c r="K5" s="25">
        <f t="shared" si="0"/>
        <v>0</v>
      </c>
      <c r="L5" s="25">
        <f t="shared" si="0"/>
        <v>0</v>
      </c>
      <c r="M5" s="25">
        <f t="shared" si="0"/>
        <v>0</v>
      </c>
      <c r="N5" s="25">
        <f t="shared" si="0"/>
        <v>0</v>
      </c>
      <c r="O5" s="25">
        <f t="shared" si="0"/>
        <v>0</v>
      </c>
      <c r="P5" s="2"/>
    </row>
    <row r="6" spans="1:16">
      <c r="A6" s="2"/>
      <c r="B6" s="2"/>
      <c r="C6" s="2"/>
      <c r="D6" s="2"/>
      <c r="E6" s="2"/>
      <c r="F6" s="2"/>
      <c r="G6" s="2"/>
      <c r="H6" s="2"/>
      <c r="I6" s="2"/>
      <c r="J6" s="2"/>
      <c r="K6" s="2"/>
      <c r="L6" s="2"/>
      <c r="M6" s="2"/>
      <c r="N6" s="2"/>
      <c r="O6" s="2"/>
      <c r="P6" s="2"/>
    </row>
    <row r="7" spans="1:16" ht="14.5">
      <c r="A7" s="126" t="s">
        <v>31</v>
      </c>
      <c r="B7" s="126"/>
      <c r="C7" s="126"/>
      <c r="D7" s="126"/>
      <c r="E7" s="126"/>
      <c r="F7" s="126"/>
      <c r="G7" s="126"/>
      <c r="H7" s="126"/>
      <c r="I7" s="126"/>
      <c r="J7" s="126"/>
      <c r="K7" s="126"/>
      <c r="L7" s="126"/>
      <c r="M7" s="126"/>
      <c r="N7" s="126"/>
      <c r="O7" s="126"/>
      <c r="P7" s="126"/>
    </row>
    <row r="8" spans="1:16">
      <c r="A8" s="8" t="s">
        <v>1</v>
      </c>
      <c r="B8" s="8" t="s">
        <v>32</v>
      </c>
      <c r="C8" s="8" t="s">
        <v>33</v>
      </c>
      <c r="D8" s="8" t="s">
        <v>34</v>
      </c>
      <c r="E8" s="8" t="s">
        <v>8</v>
      </c>
      <c r="F8" s="8">
        <f>'3. Finansinės prielaidos'!C26</f>
        <v>2026</v>
      </c>
      <c r="G8" s="8">
        <f>'3. Finansinės prielaidos'!D26</f>
        <v>2027</v>
      </c>
      <c r="H8" s="8">
        <f>'3. Finansinės prielaidos'!E26</f>
        <v>2028</v>
      </c>
      <c r="I8" s="8">
        <f>'3. Finansinės prielaidos'!F26</f>
        <v>2029</v>
      </c>
      <c r="J8" s="8">
        <f>'3. Finansinės prielaidos'!G26</f>
        <v>2030</v>
      </c>
      <c r="K8" s="8">
        <f>'3. Finansinės prielaidos'!H26</f>
        <v>2031</v>
      </c>
      <c r="L8" s="8">
        <f>'3. Finansinės prielaidos'!I26</f>
        <v>2032</v>
      </c>
      <c r="M8" s="8">
        <f>'3. Finansinės prielaidos'!J26</f>
        <v>2033</v>
      </c>
      <c r="N8" s="8">
        <f>'3. Finansinės prielaidos'!K26</f>
        <v>2034</v>
      </c>
      <c r="O8" s="8">
        <f>'3. Finansinės prielaidos'!L26</f>
        <v>2035</v>
      </c>
      <c r="P8" s="8" t="s">
        <v>35</v>
      </c>
    </row>
    <row r="9" spans="1:16">
      <c r="A9" s="19" t="str">
        <f>IF('2. Investicijos'!A5="","",'2. Investicijos'!A5)</f>
        <v>1.</v>
      </c>
      <c r="B9" s="19" t="str">
        <f>IF('2. Investicijos'!B5="","",'2. Investicijos'!B5)</f>
        <v/>
      </c>
      <c r="C9" s="19" t="str">
        <f>IF('2. Investicijos'!E5="","",'2. Investicijos'!E5)</f>
        <v/>
      </c>
      <c r="D9" s="19" t="str">
        <f>IF('2. Investicijos'!F5="","",'2. Investicijos'!F5)</f>
        <v/>
      </c>
      <c r="E9" s="26" t="str">
        <f>IF('2. Investicijos'!H5="","",'2. Investicijos'!H5)</f>
        <v/>
      </c>
      <c r="F9" s="26" t="str">
        <f t="shared" ref="F9:O9" si="1">IF($B9="","",IF($B$2="Automatinis",IF(OR($C9="",$D9="",$E9="",$D9&lt;$C9,F$8&lt;$C9,F$8&gt;$D9),"",$E9/($D9-$C9+1)),IF(F33="",0,F33)))</f>
        <v/>
      </c>
      <c r="G9" s="26" t="str">
        <f t="shared" si="1"/>
        <v/>
      </c>
      <c r="H9" s="26" t="str">
        <f t="shared" si="1"/>
        <v/>
      </c>
      <c r="I9" s="26" t="str">
        <f t="shared" si="1"/>
        <v/>
      </c>
      <c r="J9" s="26" t="str">
        <f t="shared" si="1"/>
        <v/>
      </c>
      <c r="K9" s="26" t="str">
        <f t="shared" si="1"/>
        <v/>
      </c>
      <c r="L9" s="26" t="str">
        <f t="shared" si="1"/>
        <v/>
      </c>
      <c r="M9" s="26" t="str">
        <f t="shared" si="1"/>
        <v/>
      </c>
      <c r="N9" s="26" t="str">
        <f t="shared" si="1"/>
        <v/>
      </c>
      <c r="O9" s="26" t="str">
        <f t="shared" si="1"/>
        <v/>
      </c>
      <c r="P9" s="98" t="str">
        <f t="shared" ref="P9:P28" si="2">IF($B9="","",IF(OR($C9="",$D9="",$E9=""),"NEATITINKA",IF(ROUND(SUM($F9:$O9),6)=ROUND($E9,6),"OK","NEATITINKA")))</f>
        <v/>
      </c>
    </row>
    <row r="10" spans="1:16">
      <c r="A10" s="19" t="str">
        <f>IF('2. Investicijos'!A6="","",'2. Investicijos'!A6)</f>
        <v>2.</v>
      </c>
      <c r="B10" s="19" t="str">
        <f>IF('2. Investicijos'!B6="","",'2. Investicijos'!B6)</f>
        <v/>
      </c>
      <c r="C10" s="19" t="str">
        <f>IF('2. Investicijos'!E6="","",'2. Investicijos'!E6)</f>
        <v/>
      </c>
      <c r="D10" s="19" t="str">
        <f>IF('2. Investicijos'!F6="","",'2. Investicijos'!F6)</f>
        <v/>
      </c>
      <c r="E10" s="26" t="str">
        <f>IF('2. Investicijos'!H6="","",'2. Investicijos'!H6)</f>
        <v/>
      </c>
      <c r="F10" s="26" t="str">
        <f t="shared" ref="F10:O10" si="3">IF($B10="","",IF($B$2="Automatinis",IF(OR($C10="",$D10="",$E10="",$D10&lt;$C10,F$8&lt;$C10,F$8&gt;$D10),"",$E10/($D10-$C10+1)),IF(F34="",0,F34)))</f>
        <v/>
      </c>
      <c r="G10" s="26" t="str">
        <f t="shared" si="3"/>
        <v/>
      </c>
      <c r="H10" s="26" t="str">
        <f t="shared" si="3"/>
        <v/>
      </c>
      <c r="I10" s="26" t="str">
        <f t="shared" si="3"/>
        <v/>
      </c>
      <c r="J10" s="26" t="str">
        <f t="shared" si="3"/>
        <v/>
      </c>
      <c r="K10" s="26" t="str">
        <f t="shared" si="3"/>
        <v/>
      </c>
      <c r="L10" s="26" t="str">
        <f t="shared" si="3"/>
        <v/>
      </c>
      <c r="M10" s="26" t="str">
        <f t="shared" si="3"/>
        <v/>
      </c>
      <c r="N10" s="26" t="str">
        <f t="shared" si="3"/>
        <v/>
      </c>
      <c r="O10" s="26" t="str">
        <f t="shared" si="3"/>
        <v/>
      </c>
      <c r="P10" s="98" t="str">
        <f t="shared" si="2"/>
        <v/>
      </c>
    </row>
    <row r="11" spans="1:16">
      <c r="A11" s="19" t="str">
        <f>IF('2. Investicijos'!A7="","",'2. Investicijos'!A7)</f>
        <v>3.</v>
      </c>
      <c r="B11" s="19" t="str">
        <f>IF('2. Investicijos'!B7="","",'2. Investicijos'!B7)</f>
        <v/>
      </c>
      <c r="C11" s="19" t="str">
        <f>IF('2. Investicijos'!E7="","",'2. Investicijos'!E7)</f>
        <v/>
      </c>
      <c r="D11" s="19" t="str">
        <f>IF('2. Investicijos'!F7="","",'2. Investicijos'!F7)</f>
        <v/>
      </c>
      <c r="E11" s="26" t="str">
        <f>IF('2. Investicijos'!H7="","",'2. Investicijos'!H7)</f>
        <v/>
      </c>
      <c r="F11" s="26" t="str">
        <f t="shared" ref="F11:O11" si="4">IF($B11="","",IF($B$2="Automatinis",IF(OR($C11="",$D11="",$E11="",$D11&lt;$C11,F$8&lt;$C11,F$8&gt;$D11),"",$E11/($D11-$C11+1)),IF(F35="",0,F35)))</f>
        <v/>
      </c>
      <c r="G11" s="26" t="str">
        <f t="shared" si="4"/>
        <v/>
      </c>
      <c r="H11" s="26" t="str">
        <f t="shared" si="4"/>
        <v/>
      </c>
      <c r="I11" s="26" t="str">
        <f t="shared" si="4"/>
        <v/>
      </c>
      <c r="J11" s="26" t="str">
        <f t="shared" si="4"/>
        <v/>
      </c>
      <c r="K11" s="26" t="str">
        <f t="shared" si="4"/>
        <v/>
      </c>
      <c r="L11" s="26" t="str">
        <f t="shared" si="4"/>
        <v/>
      </c>
      <c r="M11" s="26" t="str">
        <f t="shared" si="4"/>
        <v/>
      </c>
      <c r="N11" s="26" t="str">
        <f t="shared" si="4"/>
        <v/>
      </c>
      <c r="O11" s="26" t="str">
        <f t="shared" si="4"/>
        <v/>
      </c>
      <c r="P11" s="98" t="str">
        <f t="shared" si="2"/>
        <v/>
      </c>
    </row>
    <row r="12" spans="1:16">
      <c r="A12" s="19" t="str">
        <f>IF('2. Investicijos'!A8="","",'2. Investicijos'!A8)</f>
        <v>4.</v>
      </c>
      <c r="B12" s="19" t="str">
        <f>IF('2. Investicijos'!B8="","",'2. Investicijos'!B8)</f>
        <v/>
      </c>
      <c r="C12" s="19" t="str">
        <f>IF('2. Investicijos'!E8="","",'2. Investicijos'!E8)</f>
        <v/>
      </c>
      <c r="D12" s="19" t="str">
        <f>IF('2. Investicijos'!F8="","",'2. Investicijos'!F8)</f>
        <v/>
      </c>
      <c r="E12" s="26" t="str">
        <f>IF('2. Investicijos'!H8="","",'2. Investicijos'!H8)</f>
        <v/>
      </c>
      <c r="F12" s="26" t="str">
        <f t="shared" ref="F12:O12" si="5">IF($B12="","",IF($B$2="Automatinis",IF(OR($C12="",$D12="",$E12="",$D12&lt;$C12,F$8&lt;$C12,F$8&gt;$D12),"",$E12/($D12-$C12+1)),IF(F36="",0,F36)))</f>
        <v/>
      </c>
      <c r="G12" s="26" t="str">
        <f t="shared" si="5"/>
        <v/>
      </c>
      <c r="H12" s="26" t="str">
        <f t="shared" si="5"/>
        <v/>
      </c>
      <c r="I12" s="26" t="str">
        <f t="shared" si="5"/>
        <v/>
      </c>
      <c r="J12" s="26" t="str">
        <f t="shared" si="5"/>
        <v/>
      </c>
      <c r="K12" s="26" t="str">
        <f t="shared" si="5"/>
        <v/>
      </c>
      <c r="L12" s="26" t="str">
        <f t="shared" si="5"/>
        <v/>
      </c>
      <c r="M12" s="26" t="str">
        <f t="shared" si="5"/>
        <v/>
      </c>
      <c r="N12" s="26" t="str">
        <f t="shared" si="5"/>
        <v/>
      </c>
      <c r="O12" s="26" t="str">
        <f t="shared" si="5"/>
        <v/>
      </c>
      <c r="P12" s="98" t="str">
        <f t="shared" si="2"/>
        <v/>
      </c>
    </row>
    <row r="13" spans="1:16">
      <c r="A13" s="19" t="str">
        <f>IF('2. Investicijos'!A9="","",'2. Investicijos'!A9)</f>
        <v>5.</v>
      </c>
      <c r="B13" s="19" t="str">
        <f>IF('2. Investicijos'!B9="","",'2. Investicijos'!B9)</f>
        <v/>
      </c>
      <c r="C13" s="19" t="str">
        <f>IF('2. Investicijos'!E9="","",'2. Investicijos'!E9)</f>
        <v/>
      </c>
      <c r="D13" s="19" t="str">
        <f>IF('2. Investicijos'!F9="","",'2. Investicijos'!F9)</f>
        <v/>
      </c>
      <c r="E13" s="26" t="str">
        <f>IF('2. Investicijos'!H9="","",'2. Investicijos'!H9)</f>
        <v/>
      </c>
      <c r="F13" s="26" t="str">
        <f t="shared" ref="F13:O13" si="6">IF($B13="","",IF($B$2="Automatinis",IF(OR($C13="",$D13="",$E13="",$D13&lt;$C13,F$8&lt;$C13,F$8&gt;$D13),"",$E13/($D13-$C13+1)),IF(F37="",0,F37)))</f>
        <v/>
      </c>
      <c r="G13" s="26" t="str">
        <f t="shared" si="6"/>
        <v/>
      </c>
      <c r="H13" s="26" t="str">
        <f t="shared" si="6"/>
        <v/>
      </c>
      <c r="I13" s="26" t="str">
        <f t="shared" si="6"/>
        <v/>
      </c>
      <c r="J13" s="26" t="str">
        <f t="shared" si="6"/>
        <v/>
      </c>
      <c r="K13" s="26" t="str">
        <f t="shared" si="6"/>
        <v/>
      </c>
      <c r="L13" s="26" t="str">
        <f t="shared" si="6"/>
        <v/>
      </c>
      <c r="M13" s="26" t="str">
        <f t="shared" si="6"/>
        <v/>
      </c>
      <c r="N13" s="26" t="str">
        <f t="shared" si="6"/>
        <v/>
      </c>
      <c r="O13" s="26" t="str">
        <f t="shared" si="6"/>
        <v/>
      </c>
      <c r="P13" s="98" t="str">
        <f t="shared" si="2"/>
        <v/>
      </c>
    </row>
    <row r="14" spans="1:16">
      <c r="A14" s="19" t="str">
        <f>IF('2. Investicijos'!A10="","",'2. Investicijos'!A10)</f>
        <v>6.</v>
      </c>
      <c r="B14" s="19" t="str">
        <f>IF('2. Investicijos'!B10="","",'2. Investicijos'!B10)</f>
        <v/>
      </c>
      <c r="C14" s="19" t="str">
        <f>IF('2. Investicijos'!E10="","",'2. Investicijos'!E10)</f>
        <v/>
      </c>
      <c r="D14" s="19" t="str">
        <f>IF('2. Investicijos'!F10="","",'2. Investicijos'!F10)</f>
        <v/>
      </c>
      <c r="E14" s="26" t="str">
        <f>IF('2. Investicijos'!H10="","",'2. Investicijos'!H10)</f>
        <v/>
      </c>
      <c r="F14" s="26" t="str">
        <f t="shared" ref="F14:O14" si="7">IF($B14="","",IF($B$2="Automatinis",IF(OR($C14="",$D14="",$E14="",$D14&lt;$C14,F$8&lt;$C14,F$8&gt;$D14),"",$E14/($D14-$C14+1)),IF(F38="",0,F38)))</f>
        <v/>
      </c>
      <c r="G14" s="26" t="str">
        <f t="shared" si="7"/>
        <v/>
      </c>
      <c r="H14" s="26" t="str">
        <f t="shared" si="7"/>
        <v/>
      </c>
      <c r="I14" s="26" t="str">
        <f t="shared" si="7"/>
        <v/>
      </c>
      <c r="J14" s="26" t="str">
        <f t="shared" si="7"/>
        <v/>
      </c>
      <c r="K14" s="26" t="str">
        <f t="shared" si="7"/>
        <v/>
      </c>
      <c r="L14" s="26" t="str">
        <f t="shared" si="7"/>
        <v/>
      </c>
      <c r="M14" s="26" t="str">
        <f t="shared" si="7"/>
        <v/>
      </c>
      <c r="N14" s="26" t="str">
        <f t="shared" si="7"/>
        <v/>
      </c>
      <c r="O14" s="26" t="str">
        <f t="shared" si="7"/>
        <v/>
      </c>
      <c r="P14" s="98" t="str">
        <f t="shared" si="2"/>
        <v/>
      </c>
    </row>
    <row r="15" spans="1:16">
      <c r="A15" s="19" t="str">
        <f>IF('2. Investicijos'!A11="","",'2. Investicijos'!A11)</f>
        <v>7.</v>
      </c>
      <c r="B15" s="19" t="str">
        <f>IF('2. Investicijos'!B11="","",'2. Investicijos'!B11)</f>
        <v/>
      </c>
      <c r="C15" s="19" t="str">
        <f>IF('2. Investicijos'!E11="","",'2. Investicijos'!E11)</f>
        <v/>
      </c>
      <c r="D15" s="19" t="str">
        <f>IF('2. Investicijos'!F11="","",'2. Investicijos'!F11)</f>
        <v/>
      </c>
      <c r="E15" s="26" t="str">
        <f>IF('2. Investicijos'!H11="","",'2. Investicijos'!H11)</f>
        <v/>
      </c>
      <c r="F15" s="26" t="str">
        <f t="shared" ref="F15:O15" si="8">IF($B15="","",IF($B$2="Automatinis",IF(OR($C15="",$D15="",$E15="",$D15&lt;$C15,F$8&lt;$C15,F$8&gt;$D15),"",$E15/($D15-$C15+1)),IF(F39="",0,F39)))</f>
        <v/>
      </c>
      <c r="G15" s="26" t="str">
        <f t="shared" si="8"/>
        <v/>
      </c>
      <c r="H15" s="26" t="str">
        <f t="shared" si="8"/>
        <v/>
      </c>
      <c r="I15" s="26" t="str">
        <f t="shared" si="8"/>
        <v/>
      </c>
      <c r="J15" s="26" t="str">
        <f t="shared" si="8"/>
        <v/>
      </c>
      <c r="K15" s="26" t="str">
        <f t="shared" si="8"/>
        <v/>
      </c>
      <c r="L15" s="26" t="str">
        <f t="shared" si="8"/>
        <v/>
      </c>
      <c r="M15" s="26" t="str">
        <f t="shared" si="8"/>
        <v/>
      </c>
      <c r="N15" s="26" t="str">
        <f t="shared" si="8"/>
        <v/>
      </c>
      <c r="O15" s="26" t="str">
        <f t="shared" si="8"/>
        <v/>
      </c>
      <c r="P15" s="98" t="str">
        <f t="shared" si="2"/>
        <v/>
      </c>
    </row>
    <row r="16" spans="1:16">
      <c r="A16" s="19" t="str">
        <f>IF('2. Investicijos'!A12="","",'2. Investicijos'!A12)</f>
        <v>8.</v>
      </c>
      <c r="B16" s="19" t="str">
        <f>IF('2. Investicijos'!B12="","",'2. Investicijos'!B12)</f>
        <v/>
      </c>
      <c r="C16" s="19" t="str">
        <f>IF('2. Investicijos'!E12="","",'2. Investicijos'!E12)</f>
        <v/>
      </c>
      <c r="D16" s="19" t="str">
        <f>IF('2. Investicijos'!F12="","",'2. Investicijos'!F12)</f>
        <v/>
      </c>
      <c r="E16" s="26" t="str">
        <f>IF('2. Investicijos'!H12="","",'2. Investicijos'!H12)</f>
        <v/>
      </c>
      <c r="F16" s="26" t="str">
        <f t="shared" ref="F16:O16" si="9">IF($B16="","",IF($B$2="Automatinis",IF(OR($C16="",$D16="",$E16="",$D16&lt;$C16,F$8&lt;$C16,F$8&gt;$D16),"",$E16/($D16-$C16+1)),IF(F40="",0,F40)))</f>
        <v/>
      </c>
      <c r="G16" s="26" t="str">
        <f t="shared" si="9"/>
        <v/>
      </c>
      <c r="H16" s="26" t="str">
        <f t="shared" si="9"/>
        <v/>
      </c>
      <c r="I16" s="26" t="str">
        <f t="shared" si="9"/>
        <v/>
      </c>
      <c r="J16" s="26" t="str">
        <f t="shared" si="9"/>
        <v/>
      </c>
      <c r="K16" s="26" t="str">
        <f t="shared" si="9"/>
        <v/>
      </c>
      <c r="L16" s="26" t="str">
        <f t="shared" si="9"/>
        <v/>
      </c>
      <c r="M16" s="26" t="str">
        <f t="shared" si="9"/>
        <v/>
      </c>
      <c r="N16" s="26" t="str">
        <f t="shared" si="9"/>
        <v/>
      </c>
      <c r="O16" s="26" t="str">
        <f t="shared" si="9"/>
        <v/>
      </c>
      <c r="P16" s="98" t="str">
        <f t="shared" si="2"/>
        <v/>
      </c>
    </row>
    <row r="17" spans="1:16">
      <c r="A17" s="19" t="str">
        <f>IF('2. Investicijos'!A13="","",'2. Investicijos'!A13)</f>
        <v>9.</v>
      </c>
      <c r="B17" s="19" t="str">
        <f>IF('2. Investicijos'!B13="","",'2. Investicijos'!B13)</f>
        <v/>
      </c>
      <c r="C17" s="19" t="str">
        <f>IF('2. Investicijos'!E13="","",'2. Investicijos'!E13)</f>
        <v/>
      </c>
      <c r="D17" s="19" t="str">
        <f>IF('2. Investicijos'!F13="","",'2. Investicijos'!F13)</f>
        <v/>
      </c>
      <c r="E17" s="26" t="str">
        <f>IF('2. Investicijos'!H13="","",'2. Investicijos'!H13)</f>
        <v/>
      </c>
      <c r="F17" s="26" t="str">
        <f t="shared" ref="F17:O17" si="10">IF($B17="","",IF($B$2="Automatinis",IF(OR($C17="",$D17="",$E17="",$D17&lt;$C17,F$8&lt;$C17,F$8&gt;$D17),"",$E17/($D17-$C17+1)),IF(F41="",0,F41)))</f>
        <v/>
      </c>
      <c r="G17" s="26" t="str">
        <f t="shared" si="10"/>
        <v/>
      </c>
      <c r="H17" s="26" t="str">
        <f t="shared" si="10"/>
        <v/>
      </c>
      <c r="I17" s="26" t="str">
        <f t="shared" si="10"/>
        <v/>
      </c>
      <c r="J17" s="26" t="str">
        <f t="shared" si="10"/>
        <v/>
      </c>
      <c r="K17" s="26" t="str">
        <f t="shared" si="10"/>
        <v/>
      </c>
      <c r="L17" s="26" t="str">
        <f t="shared" si="10"/>
        <v/>
      </c>
      <c r="M17" s="26" t="str">
        <f t="shared" si="10"/>
        <v/>
      </c>
      <c r="N17" s="26" t="str">
        <f t="shared" si="10"/>
        <v/>
      </c>
      <c r="O17" s="26" t="str">
        <f t="shared" si="10"/>
        <v/>
      </c>
      <c r="P17" s="98" t="str">
        <f t="shared" si="2"/>
        <v/>
      </c>
    </row>
    <row r="18" spans="1:16">
      <c r="A18" s="19" t="str">
        <f>IF('2. Investicijos'!A14="","",'2. Investicijos'!A14)</f>
        <v>10.</v>
      </c>
      <c r="B18" s="19" t="str">
        <f>IF('2. Investicijos'!B14="","",'2. Investicijos'!B14)</f>
        <v/>
      </c>
      <c r="C18" s="19" t="str">
        <f>IF('2. Investicijos'!E14="","",'2. Investicijos'!E14)</f>
        <v/>
      </c>
      <c r="D18" s="19" t="str">
        <f>IF('2. Investicijos'!F14="","",'2. Investicijos'!F14)</f>
        <v/>
      </c>
      <c r="E18" s="26" t="str">
        <f>IF('2. Investicijos'!H14="","",'2. Investicijos'!H14)</f>
        <v/>
      </c>
      <c r="F18" s="26" t="str">
        <f t="shared" ref="F18:O18" si="11">IF($B18="","",IF($B$2="Automatinis",IF(OR($C18="",$D18="",$E18="",$D18&lt;$C18,F$8&lt;$C18,F$8&gt;$D18),"",$E18/($D18-$C18+1)),IF(F42="",0,F42)))</f>
        <v/>
      </c>
      <c r="G18" s="26" t="str">
        <f t="shared" si="11"/>
        <v/>
      </c>
      <c r="H18" s="26" t="str">
        <f t="shared" si="11"/>
        <v/>
      </c>
      <c r="I18" s="26" t="str">
        <f t="shared" si="11"/>
        <v/>
      </c>
      <c r="J18" s="26" t="str">
        <f t="shared" si="11"/>
        <v/>
      </c>
      <c r="K18" s="26" t="str">
        <f t="shared" si="11"/>
        <v/>
      </c>
      <c r="L18" s="26" t="str">
        <f t="shared" si="11"/>
        <v/>
      </c>
      <c r="M18" s="26" t="str">
        <f t="shared" si="11"/>
        <v/>
      </c>
      <c r="N18" s="26" t="str">
        <f t="shared" si="11"/>
        <v/>
      </c>
      <c r="O18" s="26" t="str">
        <f t="shared" si="11"/>
        <v/>
      </c>
      <c r="P18" s="98" t="str">
        <f t="shared" si="2"/>
        <v/>
      </c>
    </row>
    <row r="19" spans="1:16">
      <c r="A19" s="19" t="str">
        <f>IF('2. Investicijos'!A15="","",'2. Investicijos'!A15)</f>
        <v>11.</v>
      </c>
      <c r="B19" s="19" t="str">
        <f>IF('2. Investicijos'!B15="","",'2. Investicijos'!B15)</f>
        <v/>
      </c>
      <c r="C19" s="19" t="str">
        <f>IF('2. Investicijos'!E15="","",'2. Investicijos'!E15)</f>
        <v/>
      </c>
      <c r="D19" s="19" t="str">
        <f>IF('2. Investicijos'!F15="","",'2. Investicijos'!F15)</f>
        <v/>
      </c>
      <c r="E19" s="26" t="str">
        <f>IF('2. Investicijos'!H15="","",'2. Investicijos'!H15)</f>
        <v/>
      </c>
      <c r="F19" s="26" t="str">
        <f t="shared" ref="F19:O19" si="12">IF($B19="","",IF($B$2="Automatinis",IF(OR($C19="",$D19="",$E19="",$D19&lt;$C19,F$8&lt;$C19,F$8&gt;$D19),"",$E19/($D19-$C19+1)),IF(F43="",0,F43)))</f>
        <v/>
      </c>
      <c r="G19" s="26" t="str">
        <f t="shared" si="12"/>
        <v/>
      </c>
      <c r="H19" s="26" t="str">
        <f t="shared" si="12"/>
        <v/>
      </c>
      <c r="I19" s="26" t="str">
        <f t="shared" si="12"/>
        <v/>
      </c>
      <c r="J19" s="26" t="str">
        <f t="shared" si="12"/>
        <v/>
      </c>
      <c r="K19" s="26" t="str">
        <f t="shared" si="12"/>
        <v/>
      </c>
      <c r="L19" s="26" t="str">
        <f t="shared" si="12"/>
        <v/>
      </c>
      <c r="M19" s="26" t="str">
        <f t="shared" si="12"/>
        <v/>
      </c>
      <c r="N19" s="26" t="str">
        <f t="shared" si="12"/>
        <v/>
      </c>
      <c r="O19" s="26" t="str">
        <f t="shared" si="12"/>
        <v/>
      </c>
      <c r="P19" s="98" t="str">
        <f t="shared" si="2"/>
        <v/>
      </c>
    </row>
    <row r="20" spans="1:16">
      <c r="A20" s="19" t="str">
        <f>IF('2. Investicijos'!A16="","",'2. Investicijos'!A16)</f>
        <v>12.</v>
      </c>
      <c r="B20" s="19" t="str">
        <f>IF('2. Investicijos'!B16="","",'2. Investicijos'!B16)</f>
        <v/>
      </c>
      <c r="C20" s="19" t="str">
        <f>IF('2. Investicijos'!E16="","",'2. Investicijos'!E16)</f>
        <v/>
      </c>
      <c r="D20" s="19" t="str">
        <f>IF('2. Investicijos'!F16="","",'2. Investicijos'!F16)</f>
        <v/>
      </c>
      <c r="E20" s="26" t="str">
        <f>IF('2. Investicijos'!H16="","",'2. Investicijos'!H16)</f>
        <v/>
      </c>
      <c r="F20" s="26" t="str">
        <f t="shared" ref="F20:O20" si="13">IF($B20="","",IF($B$2="Automatinis",IF(OR($C20="",$D20="",$E20="",$D20&lt;$C20,F$8&lt;$C20,F$8&gt;$D20),"",$E20/($D20-$C20+1)),IF(F44="",0,F44)))</f>
        <v/>
      </c>
      <c r="G20" s="26" t="str">
        <f t="shared" si="13"/>
        <v/>
      </c>
      <c r="H20" s="26" t="str">
        <f t="shared" si="13"/>
        <v/>
      </c>
      <c r="I20" s="26" t="str">
        <f t="shared" si="13"/>
        <v/>
      </c>
      <c r="J20" s="26" t="str">
        <f t="shared" si="13"/>
        <v/>
      </c>
      <c r="K20" s="26" t="str">
        <f t="shared" si="13"/>
        <v/>
      </c>
      <c r="L20" s="26" t="str">
        <f t="shared" si="13"/>
        <v/>
      </c>
      <c r="M20" s="26" t="str">
        <f t="shared" si="13"/>
        <v/>
      </c>
      <c r="N20" s="26" t="str">
        <f t="shared" si="13"/>
        <v/>
      </c>
      <c r="O20" s="26" t="str">
        <f t="shared" si="13"/>
        <v/>
      </c>
      <c r="P20" s="98" t="str">
        <f t="shared" si="2"/>
        <v/>
      </c>
    </row>
    <row r="21" spans="1:16">
      <c r="A21" s="19" t="str">
        <f>IF('2. Investicijos'!A17="","",'2. Investicijos'!A17)</f>
        <v>13.</v>
      </c>
      <c r="B21" s="19" t="str">
        <f>IF('2. Investicijos'!B17="","",'2. Investicijos'!B17)</f>
        <v/>
      </c>
      <c r="C21" s="19" t="str">
        <f>IF('2. Investicijos'!E17="","",'2. Investicijos'!E17)</f>
        <v/>
      </c>
      <c r="D21" s="19" t="str">
        <f>IF('2. Investicijos'!F17="","",'2. Investicijos'!F17)</f>
        <v/>
      </c>
      <c r="E21" s="26" t="str">
        <f>IF('2. Investicijos'!H17="","",'2. Investicijos'!H17)</f>
        <v/>
      </c>
      <c r="F21" s="26" t="str">
        <f t="shared" ref="F21:O21" si="14">IF($B21="","",IF($B$2="Automatinis",IF(OR($C21="",$D21="",$E21="",$D21&lt;$C21,F$8&lt;$C21,F$8&gt;$D21),"",$E21/($D21-$C21+1)),IF(F45="",0,F45)))</f>
        <v/>
      </c>
      <c r="G21" s="26" t="str">
        <f t="shared" si="14"/>
        <v/>
      </c>
      <c r="H21" s="26" t="str">
        <f t="shared" si="14"/>
        <v/>
      </c>
      <c r="I21" s="26" t="str">
        <f t="shared" si="14"/>
        <v/>
      </c>
      <c r="J21" s="26" t="str">
        <f t="shared" si="14"/>
        <v/>
      </c>
      <c r="K21" s="26" t="str">
        <f t="shared" si="14"/>
        <v/>
      </c>
      <c r="L21" s="26" t="str">
        <f t="shared" si="14"/>
        <v/>
      </c>
      <c r="M21" s="26" t="str">
        <f t="shared" si="14"/>
        <v/>
      </c>
      <c r="N21" s="26" t="str">
        <f t="shared" si="14"/>
        <v/>
      </c>
      <c r="O21" s="26" t="str">
        <f t="shared" si="14"/>
        <v/>
      </c>
      <c r="P21" s="98" t="str">
        <f t="shared" si="2"/>
        <v/>
      </c>
    </row>
    <row r="22" spans="1:16">
      <c r="A22" s="19" t="str">
        <f>IF('2. Investicijos'!A18="","",'2. Investicijos'!A18)</f>
        <v>14.</v>
      </c>
      <c r="B22" s="19" t="str">
        <f>IF('2. Investicijos'!B18="","",'2. Investicijos'!B18)</f>
        <v/>
      </c>
      <c r="C22" s="19" t="str">
        <f>IF('2. Investicijos'!E18="","",'2. Investicijos'!E18)</f>
        <v/>
      </c>
      <c r="D22" s="19" t="str">
        <f>IF('2. Investicijos'!F18="","",'2. Investicijos'!F18)</f>
        <v/>
      </c>
      <c r="E22" s="26" t="str">
        <f>IF('2. Investicijos'!H18="","",'2. Investicijos'!H18)</f>
        <v/>
      </c>
      <c r="F22" s="26" t="str">
        <f t="shared" ref="F22:O22" si="15">IF($B22="","",IF($B$2="Automatinis",IF(OR($C22="",$D22="",$E22="",$D22&lt;$C22,F$8&lt;$C22,F$8&gt;$D22),"",$E22/($D22-$C22+1)),IF(F46="",0,F46)))</f>
        <v/>
      </c>
      <c r="G22" s="26" t="str">
        <f t="shared" si="15"/>
        <v/>
      </c>
      <c r="H22" s="26" t="str">
        <f t="shared" si="15"/>
        <v/>
      </c>
      <c r="I22" s="26" t="str">
        <f t="shared" si="15"/>
        <v/>
      </c>
      <c r="J22" s="26" t="str">
        <f t="shared" si="15"/>
        <v/>
      </c>
      <c r="K22" s="26" t="str">
        <f t="shared" si="15"/>
        <v/>
      </c>
      <c r="L22" s="26" t="str">
        <f t="shared" si="15"/>
        <v/>
      </c>
      <c r="M22" s="26" t="str">
        <f t="shared" si="15"/>
        <v/>
      </c>
      <c r="N22" s="26" t="str">
        <f t="shared" si="15"/>
        <v/>
      </c>
      <c r="O22" s="26" t="str">
        <f t="shared" si="15"/>
        <v/>
      </c>
      <c r="P22" s="98" t="str">
        <f t="shared" si="2"/>
        <v/>
      </c>
    </row>
    <row r="23" spans="1:16">
      <c r="A23" s="19" t="str">
        <f>IF('2. Investicijos'!A19="","",'2. Investicijos'!A19)</f>
        <v>15.</v>
      </c>
      <c r="B23" s="19" t="str">
        <f>IF('2. Investicijos'!B19="","",'2. Investicijos'!B19)</f>
        <v/>
      </c>
      <c r="C23" s="19" t="str">
        <f>IF('2. Investicijos'!E19="","",'2. Investicijos'!E19)</f>
        <v/>
      </c>
      <c r="D23" s="19" t="str">
        <f>IF('2. Investicijos'!F19="","",'2. Investicijos'!F19)</f>
        <v/>
      </c>
      <c r="E23" s="26" t="str">
        <f>IF('2. Investicijos'!H19="","",'2. Investicijos'!H19)</f>
        <v/>
      </c>
      <c r="F23" s="26" t="str">
        <f t="shared" ref="F23:O23" si="16">IF($B23="","",IF($B$2="Automatinis",IF(OR($C23="",$D23="",$E23="",$D23&lt;$C23,F$8&lt;$C23,F$8&gt;$D23),"",$E23/($D23-$C23+1)),IF(F47="",0,F47)))</f>
        <v/>
      </c>
      <c r="G23" s="26" t="str">
        <f t="shared" si="16"/>
        <v/>
      </c>
      <c r="H23" s="26" t="str">
        <f t="shared" si="16"/>
        <v/>
      </c>
      <c r="I23" s="26" t="str">
        <f t="shared" si="16"/>
        <v/>
      </c>
      <c r="J23" s="26" t="str">
        <f t="shared" si="16"/>
        <v/>
      </c>
      <c r="K23" s="26" t="str">
        <f t="shared" si="16"/>
        <v/>
      </c>
      <c r="L23" s="26" t="str">
        <f t="shared" si="16"/>
        <v/>
      </c>
      <c r="M23" s="26" t="str">
        <f t="shared" si="16"/>
        <v/>
      </c>
      <c r="N23" s="26" t="str">
        <f t="shared" si="16"/>
        <v/>
      </c>
      <c r="O23" s="26" t="str">
        <f t="shared" si="16"/>
        <v/>
      </c>
      <c r="P23" s="98" t="str">
        <f t="shared" si="2"/>
        <v/>
      </c>
    </row>
    <row r="24" spans="1:16">
      <c r="A24" s="19" t="str">
        <f>IF('2. Investicijos'!A20="","",'2. Investicijos'!A20)</f>
        <v>16.</v>
      </c>
      <c r="B24" s="19" t="str">
        <f>IF('2. Investicijos'!B20="","",'2. Investicijos'!B20)</f>
        <v/>
      </c>
      <c r="C24" s="19" t="str">
        <f>IF('2. Investicijos'!E20="","",'2. Investicijos'!E20)</f>
        <v/>
      </c>
      <c r="D24" s="19" t="str">
        <f>IF('2. Investicijos'!F20="","",'2. Investicijos'!F20)</f>
        <v/>
      </c>
      <c r="E24" s="26" t="str">
        <f>IF('2. Investicijos'!H20="","",'2. Investicijos'!H20)</f>
        <v/>
      </c>
      <c r="F24" s="26" t="str">
        <f t="shared" ref="F24:O24" si="17">IF($B24="","",IF($B$2="Automatinis",IF(OR($C24="",$D24="",$E24="",$D24&lt;$C24,F$8&lt;$C24,F$8&gt;$D24),"",$E24/($D24-$C24+1)),IF(F48="",0,F48)))</f>
        <v/>
      </c>
      <c r="G24" s="26" t="str">
        <f t="shared" si="17"/>
        <v/>
      </c>
      <c r="H24" s="26" t="str">
        <f t="shared" si="17"/>
        <v/>
      </c>
      <c r="I24" s="26" t="str">
        <f t="shared" si="17"/>
        <v/>
      </c>
      <c r="J24" s="26" t="str">
        <f t="shared" si="17"/>
        <v/>
      </c>
      <c r="K24" s="26" t="str">
        <f t="shared" si="17"/>
        <v/>
      </c>
      <c r="L24" s="26" t="str">
        <f t="shared" si="17"/>
        <v/>
      </c>
      <c r="M24" s="26" t="str">
        <f t="shared" si="17"/>
        <v/>
      </c>
      <c r="N24" s="26" t="str">
        <f t="shared" si="17"/>
        <v/>
      </c>
      <c r="O24" s="26" t="str">
        <f t="shared" si="17"/>
        <v/>
      </c>
      <c r="P24" s="98" t="str">
        <f t="shared" si="2"/>
        <v/>
      </c>
    </row>
    <row r="25" spans="1:16">
      <c r="A25" s="19" t="str">
        <f>IF('2. Investicijos'!A21="","",'2. Investicijos'!A21)</f>
        <v>17.</v>
      </c>
      <c r="B25" s="19" t="str">
        <f>IF('2. Investicijos'!B21="","",'2. Investicijos'!B21)</f>
        <v/>
      </c>
      <c r="C25" s="19" t="str">
        <f>IF('2. Investicijos'!E21="","",'2. Investicijos'!E21)</f>
        <v/>
      </c>
      <c r="D25" s="19" t="str">
        <f>IF('2. Investicijos'!F21="","",'2. Investicijos'!F21)</f>
        <v/>
      </c>
      <c r="E25" s="26" t="str">
        <f>IF('2. Investicijos'!H21="","",'2. Investicijos'!H21)</f>
        <v/>
      </c>
      <c r="F25" s="26" t="str">
        <f t="shared" ref="F25:O25" si="18">IF($B25="","",IF($B$2="Automatinis",IF(OR($C25="",$D25="",$E25="",$D25&lt;$C25,F$8&lt;$C25,F$8&gt;$D25),"",$E25/($D25-$C25+1)),IF(F49="",0,F49)))</f>
        <v/>
      </c>
      <c r="G25" s="26" t="str">
        <f t="shared" si="18"/>
        <v/>
      </c>
      <c r="H25" s="26" t="str">
        <f t="shared" si="18"/>
        <v/>
      </c>
      <c r="I25" s="26" t="str">
        <f t="shared" si="18"/>
        <v/>
      </c>
      <c r="J25" s="26" t="str">
        <f t="shared" si="18"/>
        <v/>
      </c>
      <c r="K25" s="26" t="str">
        <f t="shared" si="18"/>
        <v/>
      </c>
      <c r="L25" s="26" t="str">
        <f t="shared" si="18"/>
        <v/>
      </c>
      <c r="M25" s="26" t="str">
        <f t="shared" si="18"/>
        <v/>
      </c>
      <c r="N25" s="26" t="str">
        <f t="shared" si="18"/>
        <v/>
      </c>
      <c r="O25" s="26" t="str">
        <f t="shared" si="18"/>
        <v/>
      </c>
      <c r="P25" s="98" t="str">
        <f t="shared" si="2"/>
        <v/>
      </c>
    </row>
    <row r="26" spans="1:16">
      <c r="A26" s="19" t="str">
        <f>IF('2. Investicijos'!A22="","",'2. Investicijos'!A22)</f>
        <v>18.</v>
      </c>
      <c r="B26" s="19" t="str">
        <f>IF('2. Investicijos'!B22="","",'2. Investicijos'!B22)</f>
        <v/>
      </c>
      <c r="C26" s="19" t="str">
        <f>IF('2. Investicijos'!E22="","",'2. Investicijos'!E22)</f>
        <v/>
      </c>
      <c r="D26" s="19" t="str">
        <f>IF('2. Investicijos'!F22="","",'2. Investicijos'!F22)</f>
        <v/>
      </c>
      <c r="E26" s="26" t="str">
        <f>IF('2. Investicijos'!H22="","",'2. Investicijos'!H22)</f>
        <v/>
      </c>
      <c r="F26" s="26" t="str">
        <f t="shared" ref="F26:O26" si="19">IF($B26="","",IF($B$2="Automatinis",IF(OR($C26="",$D26="",$E26="",$D26&lt;$C26,F$8&lt;$C26,F$8&gt;$D26),"",$E26/($D26-$C26+1)),IF(F50="",0,F50)))</f>
        <v/>
      </c>
      <c r="G26" s="26" t="str">
        <f t="shared" si="19"/>
        <v/>
      </c>
      <c r="H26" s="26" t="str">
        <f t="shared" si="19"/>
        <v/>
      </c>
      <c r="I26" s="26" t="str">
        <f t="shared" si="19"/>
        <v/>
      </c>
      <c r="J26" s="26" t="str">
        <f t="shared" si="19"/>
        <v/>
      </c>
      <c r="K26" s="26" t="str">
        <f t="shared" si="19"/>
        <v/>
      </c>
      <c r="L26" s="26" t="str">
        <f t="shared" si="19"/>
        <v/>
      </c>
      <c r="M26" s="26" t="str">
        <f t="shared" si="19"/>
        <v/>
      </c>
      <c r="N26" s="26" t="str">
        <f t="shared" si="19"/>
        <v/>
      </c>
      <c r="O26" s="26" t="str">
        <f t="shared" si="19"/>
        <v/>
      </c>
      <c r="P26" s="98" t="str">
        <f t="shared" si="2"/>
        <v/>
      </c>
    </row>
    <row r="27" spans="1:16">
      <c r="A27" s="19" t="str">
        <f>IF('2. Investicijos'!A23="","",'2. Investicijos'!A23)</f>
        <v>19.</v>
      </c>
      <c r="B27" s="19" t="str">
        <f>IF('2. Investicijos'!B23="","",'2. Investicijos'!B23)</f>
        <v/>
      </c>
      <c r="C27" s="19" t="str">
        <f>IF('2. Investicijos'!E23="","",'2. Investicijos'!E23)</f>
        <v/>
      </c>
      <c r="D27" s="19" t="str">
        <f>IF('2. Investicijos'!F23="","",'2. Investicijos'!F23)</f>
        <v/>
      </c>
      <c r="E27" s="26" t="str">
        <f>IF('2. Investicijos'!H23="","",'2. Investicijos'!H23)</f>
        <v/>
      </c>
      <c r="F27" s="26" t="str">
        <f t="shared" ref="F27:O27" si="20">IF($B27="","",IF($B$2="Automatinis",IF(OR($C27="",$D27="",$E27="",$D27&lt;$C27,F$8&lt;$C27,F$8&gt;$D27),"",$E27/($D27-$C27+1)),IF(F51="",0,F51)))</f>
        <v/>
      </c>
      <c r="G27" s="26" t="str">
        <f t="shared" si="20"/>
        <v/>
      </c>
      <c r="H27" s="26" t="str">
        <f t="shared" si="20"/>
        <v/>
      </c>
      <c r="I27" s="26" t="str">
        <f t="shared" si="20"/>
        <v/>
      </c>
      <c r="J27" s="26" t="str">
        <f t="shared" si="20"/>
        <v/>
      </c>
      <c r="K27" s="26" t="str">
        <f t="shared" si="20"/>
        <v/>
      </c>
      <c r="L27" s="26" t="str">
        <f t="shared" si="20"/>
        <v/>
      </c>
      <c r="M27" s="26" t="str">
        <f t="shared" si="20"/>
        <v/>
      </c>
      <c r="N27" s="26" t="str">
        <f t="shared" si="20"/>
        <v/>
      </c>
      <c r="O27" s="26" t="str">
        <f t="shared" si="20"/>
        <v/>
      </c>
      <c r="P27" s="98" t="str">
        <f t="shared" si="2"/>
        <v/>
      </c>
    </row>
    <row r="28" spans="1:16">
      <c r="A28" s="19" t="str">
        <f>IF('2. Investicijos'!A24="","",'2. Investicijos'!A24)</f>
        <v>20.</v>
      </c>
      <c r="B28" s="19" t="str">
        <f>IF('2. Investicijos'!B24="","",'2. Investicijos'!B24)</f>
        <v/>
      </c>
      <c r="C28" s="19" t="str">
        <f>IF('2. Investicijos'!E24="","",'2. Investicijos'!E24)</f>
        <v/>
      </c>
      <c r="D28" s="19" t="str">
        <f>IF('2. Investicijos'!F24="","",'2. Investicijos'!F24)</f>
        <v/>
      </c>
      <c r="E28" s="26" t="str">
        <f>IF('2. Investicijos'!H24="","",'2. Investicijos'!H24)</f>
        <v/>
      </c>
      <c r="F28" s="26" t="str">
        <f t="shared" ref="F28:O28" si="21">IF($B28="","",IF($B$2="Automatinis",IF(OR($C28="",$D28="",$E28="",$D28&lt;$C28,F$8&lt;$C28,F$8&gt;$D28),"",$E28/($D28-$C28+1)),IF(F52="",0,F52)))</f>
        <v/>
      </c>
      <c r="G28" s="26" t="str">
        <f t="shared" si="21"/>
        <v/>
      </c>
      <c r="H28" s="26" t="str">
        <f t="shared" si="21"/>
        <v/>
      </c>
      <c r="I28" s="26" t="str">
        <f t="shared" si="21"/>
        <v/>
      </c>
      <c r="J28" s="26" t="str">
        <f t="shared" si="21"/>
        <v/>
      </c>
      <c r="K28" s="26" t="str">
        <f t="shared" si="21"/>
        <v/>
      </c>
      <c r="L28" s="26" t="str">
        <f t="shared" si="21"/>
        <v/>
      </c>
      <c r="M28" s="26" t="str">
        <f t="shared" si="21"/>
        <v/>
      </c>
      <c r="N28" s="26" t="str">
        <f t="shared" si="21"/>
        <v/>
      </c>
      <c r="O28" s="26" t="str">
        <f t="shared" si="21"/>
        <v/>
      </c>
      <c r="P28" s="98" t="str">
        <f t="shared" si="2"/>
        <v/>
      </c>
    </row>
    <row r="29" spans="1:16">
      <c r="A29" s="27" t="s">
        <v>36</v>
      </c>
      <c r="B29" s="27"/>
      <c r="C29" s="27"/>
      <c r="D29" s="27"/>
      <c r="E29" s="28">
        <f t="shared" ref="E29:O29" si="22">SUM(E9:E28)</f>
        <v>0</v>
      </c>
      <c r="F29" s="28">
        <f t="shared" si="22"/>
        <v>0</v>
      </c>
      <c r="G29" s="28">
        <f t="shared" si="22"/>
        <v>0</v>
      </c>
      <c r="H29" s="28">
        <f t="shared" si="22"/>
        <v>0</v>
      </c>
      <c r="I29" s="28">
        <f t="shared" si="22"/>
        <v>0</v>
      </c>
      <c r="J29" s="28">
        <f t="shared" si="22"/>
        <v>0</v>
      </c>
      <c r="K29" s="28">
        <f t="shared" si="22"/>
        <v>0</v>
      </c>
      <c r="L29" s="28">
        <f t="shared" si="22"/>
        <v>0</v>
      </c>
      <c r="M29" s="28">
        <f t="shared" si="22"/>
        <v>0</v>
      </c>
      <c r="N29" s="28">
        <f t="shared" si="22"/>
        <v>0</v>
      </c>
      <c r="O29" s="28">
        <f t="shared" si="22"/>
        <v>0</v>
      </c>
      <c r="P29" s="29" t="str">
        <f>IF(COUNTBLANK($B$9:$B$28)=ROWS($B$9:$B$28),"",IF(ROUND($E29,6)=ROUND(SUM($F29:$O29),6),"OK","NEATITINKA"))</f>
        <v/>
      </c>
    </row>
    <row r="30" spans="1:16">
      <c r="A30" s="2"/>
      <c r="B30" s="2"/>
      <c r="C30" s="2"/>
      <c r="D30" s="2"/>
      <c r="E30" s="2"/>
      <c r="F30" s="2"/>
      <c r="G30" s="2"/>
      <c r="H30" s="2"/>
      <c r="I30" s="2"/>
      <c r="J30" s="2"/>
      <c r="K30" s="2"/>
      <c r="L30" s="2"/>
      <c r="M30" s="2"/>
      <c r="N30" s="2"/>
      <c r="O30" s="2"/>
      <c r="P30" s="2"/>
    </row>
    <row r="31" spans="1:16" ht="14.5">
      <c r="A31" s="126" t="s">
        <v>37</v>
      </c>
      <c r="B31" s="126"/>
      <c r="C31" s="126"/>
      <c r="D31" s="126"/>
      <c r="E31" s="126"/>
      <c r="F31" s="126"/>
      <c r="G31" s="126"/>
      <c r="H31" s="126"/>
      <c r="I31" s="126"/>
      <c r="J31" s="126"/>
      <c r="K31" s="126"/>
      <c r="L31" s="126"/>
      <c r="M31" s="126"/>
      <c r="N31" s="126"/>
      <c r="O31" s="126"/>
      <c r="P31" s="126"/>
    </row>
    <row r="32" spans="1:16">
      <c r="A32" s="8" t="s">
        <v>1</v>
      </c>
      <c r="B32" s="8" t="s">
        <v>32</v>
      </c>
      <c r="C32" s="8" t="s">
        <v>33</v>
      </c>
      <c r="D32" s="8" t="s">
        <v>34</v>
      </c>
      <c r="E32" s="8" t="s">
        <v>8</v>
      </c>
      <c r="F32" s="8">
        <f>'3. Finansinės prielaidos'!C26</f>
        <v>2026</v>
      </c>
      <c r="G32" s="8">
        <f>'3. Finansinės prielaidos'!D26</f>
        <v>2027</v>
      </c>
      <c r="H32" s="8">
        <f>'3. Finansinės prielaidos'!E26</f>
        <v>2028</v>
      </c>
      <c r="I32" s="8">
        <f>'3. Finansinės prielaidos'!F26</f>
        <v>2029</v>
      </c>
      <c r="J32" s="8">
        <f>'3. Finansinės prielaidos'!G26</f>
        <v>2030</v>
      </c>
      <c r="K32" s="8">
        <f>'3. Finansinės prielaidos'!H26</f>
        <v>2031</v>
      </c>
      <c r="L32" s="8">
        <f>'3. Finansinės prielaidos'!I26</f>
        <v>2032</v>
      </c>
      <c r="M32" s="8">
        <f>'3. Finansinės prielaidos'!J26</f>
        <v>2033</v>
      </c>
      <c r="N32" s="8">
        <f>'3. Finansinės prielaidos'!K26</f>
        <v>2034</v>
      </c>
      <c r="O32" s="8">
        <f>'3. Finansinės prielaidos'!L26</f>
        <v>2035</v>
      </c>
      <c r="P32" s="8" t="s">
        <v>35</v>
      </c>
    </row>
    <row r="33" spans="1:16">
      <c r="A33" s="19" t="str">
        <f>IF('2. Investicijos'!A5="","",'2. Investicijos'!A5)</f>
        <v>1.</v>
      </c>
      <c r="B33" s="19" t="str">
        <f>IF('2. Investicijos'!B5="","",'2. Investicijos'!B5)</f>
        <v/>
      </c>
      <c r="C33" s="19" t="str">
        <f>IF('2. Investicijos'!E5="","",'2. Investicijos'!E5)</f>
        <v/>
      </c>
      <c r="D33" s="19" t="str">
        <f>IF('2. Investicijos'!F5="","",'2. Investicijos'!F5)</f>
        <v/>
      </c>
      <c r="E33" s="26" t="str">
        <f>IF('2. Investicijos'!H5="","",'2. Investicijos'!H5)</f>
        <v/>
      </c>
      <c r="F33" s="30"/>
      <c r="G33" s="30"/>
      <c r="H33" s="30"/>
      <c r="I33" s="30"/>
      <c r="J33" s="30"/>
      <c r="K33" s="30"/>
      <c r="L33" s="30"/>
      <c r="M33" s="30"/>
      <c r="N33" s="30"/>
      <c r="O33" s="30"/>
      <c r="P33" s="98" t="str">
        <f t="shared" ref="P33:P52" si="23">IF($B$2&lt;&gt;"Rankinis","",IF($B33="","",IF(ROUND(SUM($F33:$O33),6)=ROUND($E33,6),"OK","NEATITINKA")))</f>
        <v/>
      </c>
    </row>
    <row r="34" spans="1:16">
      <c r="A34" s="19" t="str">
        <f>IF('2. Investicijos'!A6="","",'2. Investicijos'!A6)</f>
        <v>2.</v>
      </c>
      <c r="B34" s="19" t="str">
        <f>IF('2. Investicijos'!B6="","",'2. Investicijos'!B6)</f>
        <v/>
      </c>
      <c r="C34" s="19" t="str">
        <f>IF('2. Investicijos'!E6="","",'2. Investicijos'!E6)</f>
        <v/>
      </c>
      <c r="D34" s="19" t="str">
        <f>IF('2. Investicijos'!F6="","",'2. Investicijos'!F6)</f>
        <v/>
      </c>
      <c r="E34" s="26" t="str">
        <f>IF('2. Investicijos'!H6="","",'2. Investicijos'!H6)</f>
        <v/>
      </c>
      <c r="F34" s="30"/>
      <c r="G34" s="30"/>
      <c r="H34" s="30"/>
      <c r="I34" s="30"/>
      <c r="J34" s="30"/>
      <c r="K34" s="30"/>
      <c r="L34" s="30"/>
      <c r="M34" s="30"/>
      <c r="N34" s="30"/>
      <c r="O34" s="30"/>
      <c r="P34" s="98" t="str">
        <f t="shared" si="23"/>
        <v/>
      </c>
    </row>
    <row r="35" spans="1:16">
      <c r="A35" s="19" t="str">
        <f>IF('2. Investicijos'!A7="","",'2. Investicijos'!A7)</f>
        <v>3.</v>
      </c>
      <c r="B35" s="19" t="str">
        <f>IF('2. Investicijos'!B7="","",'2. Investicijos'!B7)</f>
        <v/>
      </c>
      <c r="C35" s="19" t="str">
        <f>IF('2. Investicijos'!E7="","",'2. Investicijos'!E7)</f>
        <v/>
      </c>
      <c r="D35" s="19" t="str">
        <f>IF('2. Investicijos'!F7="","",'2. Investicijos'!F7)</f>
        <v/>
      </c>
      <c r="E35" s="26" t="str">
        <f>IF('2. Investicijos'!H7="","",'2. Investicijos'!H7)</f>
        <v/>
      </c>
      <c r="F35" s="30"/>
      <c r="G35" s="30"/>
      <c r="H35" s="30"/>
      <c r="I35" s="30"/>
      <c r="J35" s="30"/>
      <c r="K35" s="30"/>
      <c r="L35" s="30"/>
      <c r="M35" s="30"/>
      <c r="N35" s="30"/>
      <c r="O35" s="30"/>
      <c r="P35" s="98" t="str">
        <f t="shared" si="23"/>
        <v/>
      </c>
    </row>
    <row r="36" spans="1:16">
      <c r="A36" s="19" t="str">
        <f>IF('2. Investicijos'!A8="","",'2. Investicijos'!A8)</f>
        <v>4.</v>
      </c>
      <c r="B36" s="19" t="str">
        <f>IF('2. Investicijos'!B8="","",'2. Investicijos'!B8)</f>
        <v/>
      </c>
      <c r="C36" s="19" t="str">
        <f>IF('2. Investicijos'!E8="","",'2. Investicijos'!E8)</f>
        <v/>
      </c>
      <c r="D36" s="19" t="str">
        <f>IF('2. Investicijos'!F8="","",'2. Investicijos'!F8)</f>
        <v/>
      </c>
      <c r="E36" s="26" t="str">
        <f>IF('2. Investicijos'!H8="","",'2. Investicijos'!H8)</f>
        <v/>
      </c>
      <c r="F36" s="30"/>
      <c r="G36" s="30"/>
      <c r="H36" s="30"/>
      <c r="I36" s="30"/>
      <c r="J36" s="30"/>
      <c r="K36" s="30"/>
      <c r="L36" s="30"/>
      <c r="M36" s="30"/>
      <c r="N36" s="30"/>
      <c r="O36" s="30"/>
      <c r="P36" s="98" t="str">
        <f t="shared" si="23"/>
        <v/>
      </c>
    </row>
    <row r="37" spans="1:16">
      <c r="A37" s="19" t="str">
        <f>IF('2. Investicijos'!A9="","",'2. Investicijos'!A9)</f>
        <v>5.</v>
      </c>
      <c r="B37" s="19" t="str">
        <f>IF('2. Investicijos'!B9="","",'2. Investicijos'!B9)</f>
        <v/>
      </c>
      <c r="C37" s="19" t="str">
        <f>IF('2. Investicijos'!E9="","",'2. Investicijos'!E9)</f>
        <v/>
      </c>
      <c r="D37" s="19" t="str">
        <f>IF('2. Investicijos'!F9="","",'2. Investicijos'!F9)</f>
        <v/>
      </c>
      <c r="E37" s="26" t="str">
        <f>IF('2. Investicijos'!H9="","",'2. Investicijos'!H9)</f>
        <v/>
      </c>
      <c r="F37" s="30"/>
      <c r="G37" s="30"/>
      <c r="H37" s="30"/>
      <c r="I37" s="30"/>
      <c r="J37" s="30"/>
      <c r="K37" s="30"/>
      <c r="L37" s="30"/>
      <c r="M37" s="30"/>
      <c r="N37" s="30"/>
      <c r="O37" s="30"/>
      <c r="P37" s="98" t="str">
        <f t="shared" si="23"/>
        <v/>
      </c>
    </row>
    <row r="38" spans="1:16">
      <c r="A38" s="19" t="str">
        <f>IF('2. Investicijos'!A10="","",'2. Investicijos'!A10)</f>
        <v>6.</v>
      </c>
      <c r="B38" s="19" t="str">
        <f>IF('2. Investicijos'!B10="","",'2. Investicijos'!B10)</f>
        <v/>
      </c>
      <c r="C38" s="19" t="str">
        <f>IF('2. Investicijos'!E10="","",'2. Investicijos'!E10)</f>
        <v/>
      </c>
      <c r="D38" s="19" t="str">
        <f>IF('2. Investicijos'!F10="","",'2. Investicijos'!F10)</f>
        <v/>
      </c>
      <c r="E38" s="26" t="str">
        <f>IF('2. Investicijos'!H10="","",'2. Investicijos'!H10)</f>
        <v/>
      </c>
      <c r="F38" s="30"/>
      <c r="G38" s="30"/>
      <c r="H38" s="30"/>
      <c r="I38" s="30"/>
      <c r="J38" s="30"/>
      <c r="K38" s="30"/>
      <c r="L38" s="30"/>
      <c r="M38" s="30"/>
      <c r="N38" s="30"/>
      <c r="O38" s="30"/>
      <c r="P38" s="98" t="str">
        <f t="shared" si="23"/>
        <v/>
      </c>
    </row>
    <row r="39" spans="1:16">
      <c r="A39" s="19" t="str">
        <f>IF('2. Investicijos'!A11="","",'2. Investicijos'!A11)</f>
        <v>7.</v>
      </c>
      <c r="B39" s="19" t="str">
        <f>IF('2. Investicijos'!B11="","",'2. Investicijos'!B11)</f>
        <v/>
      </c>
      <c r="C39" s="19" t="str">
        <f>IF('2. Investicijos'!E11="","",'2. Investicijos'!E11)</f>
        <v/>
      </c>
      <c r="D39" s="19" t="str">
        <f>IF('2. Investicijos'!F11="","",'2. Investicijos'!F11)</f>
        <v/>
      </c>
      <c r="E39" s="26" t="str">
        <f>IF('2. Investicijos'!H11="","",'2. Investicijos'!H11)</f>
        <v/>
      </c>
      <c r="F39" s="30"/>
      <c r="G39" s="30"/>
      <c r="H39" s="30"/>
      <c r="I39" s="30"/>
      <c r="J39" s="30"/>
      <c r="K39" s="30"/>
      <c r="L39" s="30"/>
      <c r="M39" s="30"/>
      <c r="N39" s="30"/>
      <c r="O39" s="30"/>
      <c r="P39" s="98" t="str">
        <f t="shared" si="23"/>
        <v/>
      </c>
    </row>
    <row r="40" spans="1:16">
      <c r="A40" s="19" t="str">
        <f>IF('2. Investicijos'!A12="","",'2. Investicijos'!A12)</f>
        <v>8.</v>
      </c>
      <c r="B40" s="19" t="str">
        <f>IF('2. Investicijos'!B12="","",'2. Investicijos'!B12)</f>
        <v/>
      </c>
      <c r="C40" s="19" t="str">
        <f>IF('2. Investicijos'!E12="","",'2. Investicijos'!E12)</f>
        <v/>
      </c>
      <c r="D40" s="19" t="str">
        <f>IF('2. Investicijos'!F12="","",'2. Investicijos'!F12)</f>
        <v/>
      </c>
      <c r="E40" s="26" t="str">
        <f>IF('2. Investicijos'!H12="","",'2. Investicijos'!H12)</f>
        <v/>
      </c>
      <c r="F40" s="30"/>
      <c r="G40" s="30"/>
      <c r="H40" s="30"/>
      <c r="I40" s="30"/>
      <c r="J40" s="30"/>
      <c r="K40" s="30"/>
      <c r="L40" s="30"/>
      <c r="M40" s="30"/>
      <c r="N40" s="30"/>
      <c r="O40" s="30"/>
      <c r="P40" s="98" t="str">
        <f t="shared" si="23"/>
        <v/>
      </c>
    </row>
    <row r="41" spans="1:16">
      <c r="A41" s="19" t="str">
        <f>IF('2. Investicijos'!A13="","",'2. Investicijos'!A13)</f>
        <v>9.</v>
      </c>
      <c r="B41" s="19" t="str">
        <f>IF('2. Investicijos'!B13="","",'2. Investicijos'!B13)</f>
        <v/>
      </c>
      <c r="C41" s="19" t="str">
        <f>IF('2. Investicijos'!E13="","",'2. Investicijos'!E13)</f>
        <v/>
      </c>
      <c r="D41" s="19" t="str">
        <f>IF('2. Investicijos'!F13="","",'2. Investicijos'!F13)</f>
        <v/>
      </c>
      <c r="E41" s="26" t="str">
        <f>IF('2. Investicijos'!H13="","",'2. Investicijos'!H13)</f>
        <v/>
      </c>
      <c r="F41" s="30"/>
      <c r="G41" s="30"/>
      <c r="H41" s="30"/>
      <c r="I41" s="30"/>
      <c r="J41" s="30"/>
      <c r="K41" s="30"/>
      <c r="L41" s="30"/>
      <c r="M41" s="30"/>
      <c r="N41" s="30"/>
      <c r="O41" s="30"/>
      <c r="P41" s="98" t="str">
        <f t="shared" si="23"/>
        <v/>
      </c>
    </row>
    <row r="42" spans="1:16">
      <c r="A42" s="19" t="str">
        <f>IF('2. Investicijos'!A14="","",'2. Investicijos'!A14)</f>
        <v>10.</v>
      </c>
      <c r="B42" s="19" t="str">
        <f>IF('2. Investicijos'!B14="","",'2. Investicijos'!B14)</f>
        <v/>
      </c>
      <c r="C42" s="19" t="str">
        <f>IF('2. Investicijos'!E14="","",'2. Investicijos'!E14)</f>
        <v/>
      </c>
      <c r="D42" s="19" t="str">
        <f>IF('2. Investicijos'!F14="","",'2. Investicijos'!F14)</f>
        <v/>
      </c>
      <c r="E42" s="26" t="str">
        <f>IF('2. Investicijos'!H14="","",'2. Investicijos'!H14)</f>
        <v/>
      </c>
      <c r="F42" s="30"/>
      <c r="G42" s="30"/>
      <c r="H42" s="30"/>
      <c r="I42" s="30"/>
      <c r="J42" s="30"/>
      <c r="K42" s="30"/>
      <c r="L42" s="30"/>
      <c r="M42" s="30"/>
      <c r="N42" s="30"/>
      <c r="O42" s="30"/>
      <c r="P42" s="98" t="str">
        <f t="shared" si="23"/>
        <v/>
      </c>
    </row>
    <row r="43" spans="1:16">
      <c r="A43" s="19" t="str">
        <f>IF('2. Investicijos'!A15="","",'2. Investicijos'!A15)</f>
        <v>11.</v>
      </c>
      <c r="B43" s="19" t="str">
        <f>IF('2. Investicijos'!B15="","",'2. Investicijos'!B15)</f>
        <v/>
      </c>
      <c r="C43" s="19" t="str">
        <f>IF('2. Investicijos'!E15="","",'2. Investicijos'!E15)</f>
        <v/>
      </c>
      <c r="D43" s="19" t="str">
        <f>IF('2. Investicijos'!F15="","",'2. Investicijos'!F15)</f>
        <v/>
      </c>
      <c r="E43" s="26" t="str">
        <f>IF('2. Investicijos'!H15="","",'2. Investicijos'!H15)</f>
        <v/>
      </c>
      <c r="F43" s="30"/>
      <c r="G43" s="30"/>
      <c r="H43" s="30"/>
      <c r="I43" s="30"/>
      <c r="J43" s="30"/>
      <c r="K43" s="30"/>
      <c r="L43" s="30"/>
      <c r="M43" s="30"/>
      <c r="N43" s="30"/>
      <c r="O43" s="30"/>
      <c r="P43" s="98" t="str">
        <f t="shared" si="23"/>
        <v/>
      </c>
    </row>
    <row r="44" spans="1:16">
      <c r="A44" s="19" t="str">
        <f>IF('2. Investicijos'!A16="","",'2. Investicijos'!A16)</f>
        <v>12.</v>
      </c>
      <c r="B44" s="19" t="str">
        <f>IF('2. Investicijos'!B16="","",'2. Investicijos'!B16)</f>
        <v/>
      </c>
      <c r="C44" s="19" t="str">
        <f>IF('2. Investicijos'!E16="","",'2. Investicijos'!E16)</f>
        <v/>
      </c>
      <c r="D44" s="19" t="str">
        <f>IF('2. Investicijos'!F16="","",'2. Investicijos'!F16)</f>
        <v/>
      </c>
      <c r="E44" s="26" t="str">
        <f>IF('2. Investicijos'!H16="","",'2. Investicijos'!H16)</f>
        <v/>
      </c>
      <c r="F44" s="30"/>
      <c r="G44" s="30"/>
      <c r="H44" s="30"/>
      <c r="I44" s="30"/>
      <c r="J44" s="30"/>
      <c r="K44" s="30"/>
      <c r="L44" s="30"/>
      <c r="M44" s="30"/>
      <c r="N44" s="30"/>
      <c r="O44" s="30"/>
      <c r="P44" s="98" t="str">
        <f t="shared" si="23"/>
        <v/>
      </c>
    </row>
    <row r="45" spans="1:16">
      <c r="A45" s="19" t="str">
        <f>IF('2. Investicijos'!A17="","",'2. Investicijos'!A17)</f>
        <v>13.</v>
      </c>
      <c r="B45" s="19" t="str">
        <f>IF('2. Investicijos'!B17="","",'2. Investicijos'!B17)</f>
        <v/>
      </c>
      <c r="C45" s="19" t="str">
        <f>IF('2. Investicijos'!E17="","",'2. Investicijos'!E17)</f>
        <v/>
      </c>
      <c r="D45" s="19" t="str">
        <f>IF('2. Investicijos'!F17="","",'2. Investicijos'!F17)</f>
        <v/>
      </c>
      <c r="E45" s="26" t="str">
        <f>IF('2. Investicijos'!H17="","",'2. Investicijos'!H17)</f>
        <v/>
      </c>
      <c r="F45" s="30"/>
      <c r="G45" s="30"/>
      <c r="H45" s="30"/>
      <c r="I45" s="30"/>
      <c r="J45" s="30"/>
      <c r="K45" s="30"/>
      <c r="L45" s="30"/>
      <c r="M45" s="30"/>
      <c r="N45" s="30"/>
      <c r="O45" s="30"/>
      <c r="P45" s="98" t="str">
        <f t="shared" si="23"/>
        <v/>
      </c>
    </row>
    <row r="46" spans="1:16">
      <c r="A46" s="19" t="str">
        <f>IF('2. Investicijos'!A18="","",'2. Investicijos'!A18)</f>
        <v>14.</v>
      </c>
      <c r="B46" s="19" t="str">
        <f>IF('2. Investicijos'!B18="","",'2. Investicijos'!B18)</f>
        <v/>
      </c>
      <c r="C46" s="19" t="str">
        <f>IF('2. Investicijos'!E18="","",'2. Investicijos'!E18)</f>
        <v/>
      </c>
      <c r="D46" s="19" t="str">
        <f>IF('2. Investicijos'!F18="","",'2. Investicijos'!F18)</f>
        <v/>
      </c>
      <c r="E46" s="26" t="str">
        <f>IF('2. Investicijos'!H18="","",'2. Investicijos'!H18)</f>
        <v/>
      </c>
      <c r="F46" s="30"/>
      <c r="G46" s="30"/>
      <c r="H46" s="30"/>
      <c r="I46" s="30"/>
      <c r="J46" s="30"/>
      <c r="K46" s="30"/>
      <c r="L46" s="30"/>
      <c r="M46" s="30"/>
      <c r="N46" s="30"/>
      <c r="O46" s="30"/>
      <c r="P46" s="98" t="str">
        <f t="shared" si="23"/>
        <v/>
      </c>
    </row>
    <row r="47" spans="1:16">
      <c r="A47" s="19" t="str">
        <f>IF('2. Investicijos'!A19="","",'2. Investicijos'!A19)</f>
        <v>15.</v>
      </c>
      <c r="B47" s="19" t="str">
        <f>IF('2. Investicijos'!B19="","",'2. Investicijos'!B19)</f>
        <v/>
      </c>
      <c r="C47" s="19" t="str">
        <f>IF('2. Investicijos'!E19="","",'2. Investicijos'!E19)</f>
        <v/>
      </c>
      <c r="D47" s="19" t="str">
        <f>IF('2. Investicijos'!F19="","",'2. Investicijos'!F19)</f>
        <v/>
      </c>
      <c r="E47" s="26" t="str">
        <f>IF('2. Investicijos'!H19="","",'2. Investicijos'!H19)</f>
        <v/>
      </c>
      <c r="F47" s="30"/>
      <c r="G47" s="30"/>
      <c r="H47" s="30"/>
      <c r="I47" s="30"/>
      <c r="J47" s="30"/>
      <c r="K47" s="30"/>
      <c r="L47" s="30"/>
      <c r="M47" s="30"/>
      <c r="N47" s="30"/>
      <c r="O47" s="30"/>
      <c r="P47" s="98" t="str">
        <f t="shared" si="23"/>
        <v/>
      </c>
    </row>
    <row r="48" spans="1:16">
      <c r="A48" s="19" t="str">
        <f>IF('2. Investicijos'!A20="","",'2. Investicijos'!A20)</f>
        <v>16.</v>
      </c>
      <c r="B48" s="19" t="str">
        <f>IF('2. Investicijos'!B20="","",'2. Investicijos'!B20)</f>
        <v/>
      </c>
      <c r="C48" s="19" t="str">
        <f>IF('2. Investicijos'!E20="","",'2. Investicijos'!E20)</f>
        <v/>
      </c>
      <c r="D48" s="19" t="str">
        <f>IF('2. Investicijos'!F20="","",'2. Investicijos'!F20)</f>
        <v/>
      </c>
      <c r="E48" s="26" t="str">
        <f>IF('2. Investicijos'!H20="","",'2. Investicijos'!H20)</f>
        <v/>
      </c>
      <c r="F48" s="30"/>
      <c r="G48" s="30"/>
      <c r="H48" s="30"/>
      <c r="I48" s="30"/>
      <c r="J48" s="30"/>
      <c r="K48" s="30"/>
      <c r="L48" s="30"/>
      <c r="M48" s="30"/>
      <c r="N48" s="30"/>
      <c r="O48" s="30"/>
      <c r="P48" s="98" t="str">
        <f t="shared" si="23"/>
        <v/>
      </c>
    </row>
    <row r="49" spans="1:16">
      <c r="A49" s="19" t="str">
        <f>IF('2. Investicijos'!A21="","",'2. Investicijos'!A21)</f>
        <v>17.</v>
      </c>
      <c r="B49" s="19" t="str">
        <f>IF('2. Investicijos'!B21="","",'2. Investicijos'!B21)</f>
        <v/>
      </c>
      <c r="C49" s="19" t="str">
        <f>IF('2. Investicijos'!E21="","",'2. Investicijos'!E21)</f>
        <v/>
      </c>
      <c r="D49" s="19" t="str">
        <f>IF('2. Investicijos'!F21="","",'2. Investicijos'!F21)</f>
        <v/>
      </c>
      <c r="E49" s="26" t="str">
        <f>IF('2. Investicijos'!H21="","",'2. Investicijos'!H21)</f>
        <v/>
      </c>
      <c r="F49" s="30"/>
      <c r="G49" s="30"/>
      <c r="H49" s="30"/>
      <c r="I49" s="30"/>
      <c r="J49" s="30"/>
      <c r="K49" s="30"/>
      <c r="L49" s="30"/>
      <c r="M49" s="30"/>
      <c r="N49" s="30"/>
      <c r="O49" s="30"/>
      <c r="P49" s="98" t="str">
        <f t="shared" si="23"/>
        <v/>
      </c>
    </row>
    <row r="50" spans="1:16">
      <c r="A50" s="19" t="str">
        <f>IF('2. Investicijos'!A22="","",'2. Investicijos'!A22)</f>
        <v>18.</v>
      </c>
      <c r="B50" s="19" t="str">
        <f>IF('2. Investicijos'!B22="","",'2. Investicijos'!B22)</f>
        <v/>
      </c>
      <c r="C50" s="19" t="str">
        <f>IF('2. Investicijos'!E22="","",'2. Investicijos'!E22)</f>
        <v/>
      </c>
      <c r="D50" s="19" t="str">
        <f>IF('2. Investicijos'!F22="","",'2. Investicijos'!F22)</f>
        <v/>
      </c>
      <c r="E50" s="26" t="str">
        <f>IF('2. Investicijos'!H22="","",'2. Investicijos'!H22)</f>
        <v/>
      </c>
      <c r="F50" s="30"/>
      <c r="G50" s="30"/>
      <c r="H50" s="30"/>
      <c r="I50" s="30"/>
      <c r="J50" s="30"/>
      <c r="K50" s="30"/>
      <c r="L50" s="30"/>
      <c r="M50" s="30"/>
      <c r="N50" s="30"/>
      <c r="O50" s="30"/>
      <c r="P50" s="98" t="str">
        <f t="shared" si="23"/>
        <v/>
      </c>
    </row>
    <row r="51" spans="1:16">
      <c r="A51" s="19" t="str">
        <f>IF('2. Investicijos'!A23="","",'2. Investicijos'!A23)</f>
        <v>19.</v>
      </c>
      <c r="B51" s="19" t="str">
        <f>IF('2. Investicijos'!B23="","",'2. Investicijos'!B23)</f>
        <v/>
      </c>
      <c r="C51" s="19" t="str">
        <f>IF('2. Investicijos'!E23="","",'2. Investicijos'!E23)</f>
        <v/>
      </c>
      <c r="D51" s="19" t="str">
        <f>IF('2. Investicijos'!F23="","",'2. Investicijos'!F23)</f>
        <v/>
      </c>
      <c r="E51" s="26" t="str">
        <f>IF('2. Investicijos'!H23="","",'2. Investicijos'!H23)</f>
        <v/>
      </c>
      <c r="F51" s="30"/>
      <c r="G51" s="30"/>
      <c r="H51" s="30"/>
      <c r="I51" s="30"/>
      <c r="J51" s="30"/>
      <c r="K51" s="30"/>
      <c r="L51" s="30"/>
      <c r="M51" s="30"/>
      <c r="N51" s="30"/>
      <c r="O51" s="30"/>
      <c r="P51" s="98" t="str">
        <f t="shared" si="23"/>
        <v/>
      </c>
    </row>
    <row r="52" spans="1:16">
      <c r="A52" s="19" t="str">
        <f>IF('2. Investicijos'!A24="","",'2. Investicijos'!A24)</f>
        <v>20.</v>
      </c>
      <c r="B52" s="19" t="str">
        <f>IF('2. Investicijos'!B24="","",'2. Investicijos'!B24)</f>
        <v/>
      </c>
      <c r="C52" s="19" t="str">
        <f>IF('2. Investicijos'!E24="","",'2. Investicijos'!E24)</f>
        <v/>
      </c>
      <c r="D52" s="19" t="str">
        <f>IF('2. Investicijos'!F24="","",'2. Investicijos'!F24)</f>
        <v/>
      </c>
      <c r="E52" s="26" t="str">
        <f>IF('2. Investicijos'!H24="","",'2. Investicijos'!H24)</f>
        <v/>
      </c>
      <c r="F52" s="30"/>
      <c r="G52" s="30"/>
      <c r="H52" s="30"/>
      <c r="I52" s="30"/>
      <c r="J52" s="30"/>
      <c r="K52" s="30"/>
      <c r="L52" s="30"/>
      <c r="M52" s="30"/>
      <c r="N52" s="30"/>
      <c r="O52" s="30"/>
      <c r="P52" s="98" t="str">
        <f t="shared" si="23"/>
        <v/>
      </c>
    </row>
    <row r="53" spans="1:16">
      <c r="A53" s="27" t="s">
        <v>36</v>
      </c>
      <c r="B53" s="27"/>
      <c r="C53" s="27"/>
      <c r="D53" s="27"/>
      <c r="E53" s="28">
        <f t="shared" ref="E53" si="24">SUM(E33:E52)</f>
        <v>0</v>
      </c>
      <c r="F53" s="28">
        <f t="shared" ref="F53" si="25">SUM(F33:F52)</f>
        <v>0</v>
      </c>
      <c r="G53" s="28">
        <f t="shared" ref="G53" si="26">SUM(G33:G52)</f>
        <v>0</v>
      </c>
      <c r="H53" s="28">
        <f t="shared" ref="H53" si="27">SUM(H33:H52)</f>
        <v>0</v>
      </c>
      <c r="I53" s="28">
        <f t="shared" ref="I53" si="28">SUM(I33:I52)</f>
        <v>0</v>
      </c>
      <c r="J53" s="28">
        <f t="shared" ref="J53" si="29">SUM(J33:J52)</f>
        <v>0</v>
      </c>
      <c r="K53" s="28">
        <f t="shared" ref="K53" si="30">SUM(K33:K52)</f>
        <v>0</v>
      </c>
      <c r="L53" s="28">
        <f t="shared" ref="L53" si="31">SUM(L33:L52)</f>
        <v>0</v>
      </c>
      <c r="M53" s="28">
        <f t="shared" ref="M53" si="32">SUM(M33:M52)</f>
        <v>0</v>
      </c>
      <c r="N53" s="28">
        <f t="shared" ref="N53" si="33">SUM(N33:N52)</f>
        <v>0</v>
      </c>
      <c r="O53" s="28">
        <f t="shared" ref="O53" si="34">SUM(O33:O52)</f>
        <v>0</v>
      </c>
      <c r="P53" s="29" t="str">
        <f>IF(COUNTBLANK($B$9:$B$28)=ROWS($B$9:$B$28),"",IF(ROUND($E53,6)=ROUND(SUM($F53:$O53),6),"OK","NEATITINKA"))</f>
        <v/>
      </c>
    </row>
  </sheetData>
  <mergeCells count="4">
    <mergeCell ref="A1:P1"/>
    <mergeCell ref="C2:P2"/>
    <mergeCell ref="A7:P7"/>
    <mergeCell ref="A31:P31"/>
  </mergeCells>
  <conditionalFormatting sqref="P9:P29">
    <cfRule type="expression" dxfId="47" priority="1">
      <formula>P9="OK"</formula>
    </cfRule>
    <cfRule type="expression" dxfId="46" priority="2">
      <formula>P9="NEATITINKA"</formula>
    </cfRule>
  </conditionalFormatting>
  <conditionalFormatting sqref="P33:P53">
    <cfRule type="expression" dxfId="45" priority="3">
      <formula>P33="OK"</formula>
    </cfRule>
    <cfRule type="expression" dxfId="44" priority="4">
      <formula>P33="NEATITINKA"</formula>
    </cfRule>
  </conditionalFormatting>
  <dataValidations count="1">
    <dataValidation type="list" sqref="B2" xr:uid="{00000000-0002-0000-0300-000000000000}">
      <formula1>"Automatinis,Rankinis"</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65"/>
  <sheetViews>
    <sheetView workbookViewId="0">
      <selection activeCell="E27" sqref="E27"/>
    </sheetView>
  </sheetViews>
  <sheetFormatPr defaultRowHeight="14"/>
  <cols>
    <col min="1" max="1" width="8.33203125" customWidth="1"/>
    <col min="2" max="2" width="50" customWidth="1"/>
    <col min="3" max="12" width="12.6640625" customWidth="1"/>
    <col min="13" max="18" width="11" customWidth="1"/>
    <col min="22" max="22" width="10" customWidth="1"/>
    <col min="23" max="23" width="34" customWidth="1"/>
    <col min="24" max="33" width="11" customWidth="1"/>
  </cols>
  <sheetData>
    <row r="1" spans="1:20" ht="19.5">
      <c r="A1" s="120" t="s">
        <v>146</v>
      </c>
      <c r="B1" s="120"/>
      <c r="C1" s="120"/>
      <c r="D1" s="120"/>
      <c r="E1" s="120"/>
      <c r="F1" s="120"/>
      <c r="G1" s="120"/>
      <c r="H1" s="120"/>
      <c r="I1" s="120"/>
      <c r="J1" s="120"/>
      <c r="K1" s="120"/>
      <c r="L1" s="5"/>
      <c r="M1" s="2"/>
      <c r="N1" s="2"/>
      <c r="O1" s="2"/>
      <c r="P1" s="2"/>
      <c r="Q1" s="2"/>
      <c r="R1" s="2"/>
      <c r="S1" s="2"/>
      <c r="T1" s="2"/>
    </row>
    <row r="2" spans="1:20">
      <c r="A2" s="133" t="str">
        <f>"Tikslas: parodyti suplanuoto investicijų portfelio poveikį įmonės finansinei būklei, kai investicijų dedamoji = 0 %. Vertinimo laikotarpis: "&amp;MIN(C7:L7)&amp;"–"&amp;MAX(C7:L7)&amp;" m. Vertinami Investicijų derinimo aprašo 11³.6 papunktyje nustatyti kriterijai: Net Debt / EBITDA ≤ 5,5x ir DSCR ≥ 1,2x."</f>
        <v>Tikslas: parodyti suplanuoto investicijų portfelio poveikį įmonės finansinei būklei, kai investicijų dedamoji = 0 %. Vertinimo laikotarpis: 2026–2035 m. Vertinami Investicijų derinimo aprašo 11³.6 papunktyje nustatyti kriterijai: Net Debt / EBITDA ≤ 5,5x ir DSCR ≥ 1,2x.</v>
      </c>
      <c r="B2" s="133"/>
      <c r="C2" s="133"/>
      <c r="D2" s="133"/>
      <c r="E2" s="133"/>
      <c r="F2" s="133"/>
      <c r="G2" s="133"/>
      <c r="H2" s="133"/>
      <c r="I2" s="133"/>
      <c r="J2" s="133"/>
      <c r="K2" s="133"/>
      <c r="L2" s="31"/>
      <c r="M2" s="2"/>
      <c r="N2" s="2"/>
      <c r="O2" s="2"/>
      <c r="P2" s="2"/>
      <c r="Q2" s="2"/>
      <c r="R2" s="2"/>
      <c r="S2" s="2"/>
      <c r="T2" s="2"/>
    </row>
    <row r="3" spans="1:20">
      <c r="A3" s="27" t="s">
        <v>38</v>
      </c>
      <c r="B3" s="27" t="s">
        <v>19</v>
      </c>
      <c r="C3" s="27"/>
      <c r="D3" s="27" t="s">
        <v>20</v>
      </c>
      <c r="E3" s="27"/>
      <c r="F3" s="27"/>
      <c r="G3" s="27"/>
      <c r="H3" s="2"/>
      <c r="I3" s="2"/>
      <c r="J3" s="2"/>
      <c r="K3" s="2"/>
      <c r="L3" s="2"/>
      <c r="M3" s="2"/>
      <c r="N3" s="2"/>
      <c r="O3" s="2"/>
      <c r="P3" s="2"/>
      <c r="Q3" s="2"/>
      <c r="R3" s="2"/>
      <c r="S3" s="2"/>
      <c r="T3" s="2"/>
    </row>
    <row r="4" spans="1:20">
      <c r="A4" s="19" t="s">
        <v>39</v>
      </c>
      <c r="C4" s="99">
        <v>0</v>
      </c>
      <c r="D4" s="19" t="s">
        <v>40</v>
      </c>
      <c r="E4" s="2"/>
      <c r="F4" s="2"/>
      <c r="G4" s="2"/>
      <c r="H4" s="2"/>
      <c r="I4" s="2"/>
      <c r="J4" s="2"/>
      <c r="K4" s="2"/>
      <c r="L4" s="2"/>
      <c r="M4" s="2"/>
      <c r="N4" s="2"/>
      <c r="O4" s="2"/>
      <c r="P4" s="2"/>
      <c r="Q4" s="2"/>
      <c r="R4" s="2"/>
      <c r="S4" s="2"/>
      <c r="T4" s="2"/>
    </row>
    <row r="5" spans="1:20" s="106" customFormat="1">
      <c r="A5" s="114" t="s">
        <v>21</v>
      </c>
      <c r="C5" s="115" t="s">
        <v>306</v>
      </c>
      <c r="D5" s="116" t="s">
        <v>145</v>
      </c>
      <c r="E5" s="113"/>
      <c r="F5" s="113"/>
      <c r="G5" s="113"/>
      <c r="H5" s="113"/>
      <c r="I5" s="113"/>
      <c r="J5" s="113"/>
      <c r="K5" s="113"/>
      <c r="L5" s="113"/>
      <c r="M5" s="113"/>
      <c r="N5" s="113"/>
      <c r="O5" s="113"/>
      <c r="P5" s="113"/>
      <c r="Q5" s="113"/>
      <c r="R5" s="113"/>
      <c r="S5" s="113"/>
      <c r="T5" s="113"/>
    </row>
    <row r="6" spans="1:20">
      <c r="A6" s="32"/>
      <c r="B6" s="32"/>
      <c r="C6" s="32"/>
      <c r="D6" s="2"/>
      <c r="E6" s="2"/>
      <c r="F6" s="2"/>
      <c r="G6" s="2"/>
      <c r="H6" s="2"/>
      <c r="I6" s="2"/>
      <c r="J6" s="2"/>
      <c r="K6" s="2"/>
      <c r="L6" s="2"/>
      <c r="M6" s="2"/>
      <c r="N6" s="2"/>
      <c r="O6" s="2"/>
      <c r="P6" s="2"/>
      <c r="Q6" s="2"/>
      <c r="R6" s="2"/>
      <c r="S6" s="2"/>
      <c r="T6" s="2"/>
    </row>
    <row r="7" spans="1:20">
      <c r="A7" s="8" t="s">
        <v>1</v>
      </c>
      <c r="B7" s="8" t="s">
        <v>22</v>
      </c>
      <c r="C7" s="8">
        <f>'3. Finansinės prielaidos'!C26</f>
        <v>2026</v>
      </c>
      <c r="D7" s="8">
        <f>'3. Finansinės prielaidos'!D26</f>
        <v>2027</v>
      </c>
      <c r="E7" s="8">
        <f>'3. Finansinės prielaidos'!E26</f>
        <v>2028</v>
      </c>
      <c r="F7" s="8">
        <f>'3. Finansinės prielaidos'!F26</f>
        <v>2029</v>
      </c>
      <c r="G7" s="8">
        <f>'3. Finansinės prielaidos'!G26</f>
        <v>2030</v>
      </c>
      <c r="H7" s="8">
        <f>'3. Finansinės prielaidos'!H26</f>
        <v>2031</v>
      </c>
      <c r="I7" s="8">
        <f>'3. Finansinės prielaidos'!I26</f>
        <v>2032</v>
      </c>
      <c r="J7" s="8">
        <f>'3. Finansinės prielaidos'!J26</f>
        <v>2033</v>
      </c>
      <c r="K7" s="8">
        <f>'3. Finansinės prielaidos'!K26</f>
        <v>2034</v>
      </c>
      <c r="L7" s="8">
        <f>'3. Finansinės prielaidos'!L26</f>
        <v>2035</v>
      </c>
      <c r="M7" s="2"/>
      <c r="N7" s="2"/>
      <c r="O7" s="2"/>
      <c r="P7" s="2"/>
      <c r="Q7" s="2"/>
      <c r="R7" s="2"/>
      <c r="S7" s="2"/>
      <c r="T7" s="2"/>
    </row>
    <row r="8" spans="1:20">
      <c r="A8" s="22">
        <v>1</v>
      </c>
      <c r="B8" s="19" t="s">
        <v>314</v>
      </c>
      <c r="C8" s="34">
        <f>IF('3. Finansinės prielaidos'!C29="","",'3. Finansinės prielaidos'!C29)</f>
        <v>0</v>
      </c>
      <c r="D8" s="34">
        <f>IF('3. Finansinės prielaidos'!D29="","",'3. Finansinės prielaidos'!D29)</f>
        <v>0</v>
      </c>
      <c r="E8" s="34">
        <f>IF('3. Finansinės prielaidos'!E29="","",'3. Finansinės prielaidos'!E29)</f>
        <v>0</v>
      </c>
      <c r="F8" s="34">
        <f>IF('3. Finansinės prielaidos'!F29="","",'3. Finansinės prielaidos'!F29)</f>
        <v>0</v>
      </c>
      <c r="G8" s="34">
        <f>IF('3. Finansinės prielaidos'!G29="","",'3. Finansinės prielaidos'!G29)</f>
        <v>0</v>
      </c>
      <c r="H8" s="34">
        <f>IF('3. Finansinės prielaidos'!H29="","",'3. Finansinės prielaidos'!H29)</f>
        <v>0</v>
      </c>
      <c r="I8" s="34">
        <f>IF('3. Finansinės prielaidos'!I29="","",'3. Finansinės prielaidos'!I29)</f>
        <v>0</v>
      </c>
      <c r="J8" s="34">
        <f>IF('3. Finansinės prielaidos'!J29="","",'3. Finansinės prielaidos'!J29)</f>
        <v>0</v>
      </c>
      <c r="K8" s="34">
        <f>IF('3. Finansinės prielaidos'!K29="","",'3. Finansinės prielaidos'!K29)</f>
        <v>0</v>
      </c>
      <c r="L8" s="34">
        <f>IF('3. Finansinės prielaidos'!L29="","",'3. Finansinės prielaidos'!L29)</f>
        <v>0</v>
      </c>
      <c r="M8" s="2"/>
      <c r="N8" s="2"/>
      <c r="O8" s="2"/>
      <c r="P8" s="2"/>
      <c r="Q8" s="2"/>
      <c r="R8" s="2"/>
      <c r="S8" s="2"/>
      <c r="T8" s="2"/>
    </row>
    <row r="9" spans="1:20">
      <c r="A9" s="33">
        <v>2</v>
      </c>
      <c r="B9" s="17" t="s">
        <v>315</v>
      </c>
      <c r="C9" s="34" cm="1">
        <f t="array" ref="C9">IF($C$5="","",SUMPRODUCT(--(C$7&gt;'2. Investicijos'!$F$5:$F$24),--(C$7&lt;='2. Investicijos'!$F$5:$F$24+'2. Investicijos'!$G$5:$G$24),IFERROR(('2. Investicijos'!$M$5:$M$24+'2. Investicijos'!$N$5:$N$24)/'2. Investicijos'!$G$5:$G$24,0)))</f>
        <v>0</v>
      </c>
      <c r="D9" s="34" cm="1">
        <f t="array" ref="D9">IF($C$5="","",SUMPRODUCT(--(D$7&gt;'2. Investicijos'!$F$5:$F$24),--(D$7&lt;='2. Investicijos'!$F$5:$F$24+'2. Investicijos'!$G$5:$G$24),IFERROR(('2. Investicijos'!$M$5:$M$24+'2. Investicijos'!$N$5:$N$24)/'2. Investicijos'!$G$5:$G$24,0)))</f>
        <v>0</v>
      </c>
      <c r="E9" s="34" cm="1">
        <f t="array" ref="E9">IF($C$5="","",SUMPRODUCT(--(E$7&gt;'2. Investicijos'!$F$5:$F$24),--(E$7&lt;='2. Investicijos'!$F$5:$F$24+'2. Investicijos'!$G$5:$G$24),IFERROR(('2. Investicijos'!$M$5:$M$24+'2. Investicijos'!$N$5:$N$24)/'2. Investicijos'!$G$5:$G$24,0)))</f>
        <v>0</v>
      </c>
      <c r="F9" s="34" cm="1">
        <f t="array" ref="F9">IF($C$5="","",SUMPRODUCT(--(F$7&gt;'2. Investicijos'!$F$5:$F$24),--(F$7&lt;='2. Investicijos'!$F$5:$F$24+'2. Investicijos'!$G$5:$G$24),IFERROR(('2. Investicijos'!$M$5:$M$24+'2. Investicijos'!$N$5:$N$24)/'2. Investicijos'!$G$5:$G$24,0)))</f>
        <v>0</v>
      </c>
      <c r="G9" s="34" cm="1">
        <f t="array" ref="G9">IF($C$5="","",SUMPRODUCT(--(G$7&gt;'2. Investicijos'!$F$5:$F$24),--(G$7&lt;='2. Investicijos'!$F$5:$F$24+'2. Investicijos'!$G$5:$G$24),IFERROR(('2. Investicijos'!$M$5:$M$24+'2. Investicijos'!$N$5:$N$24)/'2. Investicijos'!$G$5:$G$24,0)))</f>
        <v>0</v>
      </c>
      <c r="H9" s="34" cm="1">
        <f t="array" ref="H9">IF($C$5="","",SUMPRODUCT(--(H$7&gt;'2. Investicijos'!$F$5:$F$24),--(H$7&lt;='2. Investicijos'!$F$5:$F$24+'2. Investicijos'!$G$5:$G$24),IFERROR(('2. Investicijos'!$M$5:$M$24+'2. Investicijos'!$N$5:$N$24)/'2. Investicijos'!$G$5:$G$24,0)))</f>
        <v>0</v>
      </c>
      <c r="I9" s="34" cm="1">
        <f t="array" ref="I9">IF($C$5="","",SUMPRODUCT(--(I$7&gt;'2. Investicijos'!$F$5:$F$24),--(I$7&lt;='2. Investicijos'!$F$5:$F$24+'2. Investicijos'!$G$5:$G$24),IFERROR(('2. Investicijos'!$M$5:$M$24+'2. Investicijos'!$N$5:$N$24)/'2. Investicijos'!$G$5:$G$24,0)))</f>
        <v>0</v>
      </c>
      <c r="J9" s="34" cm="1">
        <f t="array" ref="J9">IF($C$5="","",SUMPRODUCT(--(J$7&gt;'2. Investicijos'!$F$5:$F$24),--(J$7&lt;='2. Investicijos'!$F$5:$F$24+'2. Investicijos'!$G$5:$G$24),IFERROR(('2. Investicijos'!$M$5:$M$24+'2. Investicijos'!$N$5:$N$24)/'2. Investicijos'!$G$5:$G$24,0)))</f>
        <v>0</v>
      </c>
      <c r="K9" s="34" cm="1">
        <f t="array" ref="K9">IF($C$5="","",SUMPRODUCT(--(K$7&gt;'2. Investicijos'!$F$5:$F$24),--(K$7&lt;='2. Investicijos'!$F$5:$F$24+'2. Investicijos'!$G$5:$G$24),IFERROR(('2. Investicijos'!$M$5:$M$24+'2. Investicijos'!$N$5:$N$24)/'2. Investicijos'!$G$5:$G$24,0)))</f>
        <v>0</v>
      </c>
      <c r="L9" s="34" cm="1">
        <f t="array" ref="L9">IF($C$5="","",SUMPRODUCT(--(L$7&gt;'2. Investicijos'!$F$5:$F$24),--(L$7&lt;='2. Investicijos'!$F$5:$F$24+'2. Investicijos'!$G$5:$G$24),IFERROR(('2. Investicijos'!$M$5:$M$24+'2. Investicijos'!$N$5:$N$24)/'2. Investicijos'!$G$5:$G$24,0)))</f>
        <v>0</v>
      </c>
      <c r="M9" s="2"/>
      <c r="N9" s="2"/>
      <c r="O9" s="2"/>
      <c r="P9" s="2"/>
      <c r="Q9" s="2"/>
      <c r="R9" s="2"/>
      <c r="S9" s="2"/>
      <c r="T9" s="2"/>
    </row>
    <row r="10" spans="1:20">
      <c r="A10" s="33">
        <v>3</v>
      </c>
      <c r="B10" s="17" t="s">
        <v>316</v>
      </c>
      <c r="C10" s="34" t="e" cm="1">
        <f t="array" ref="C10">IF($C$5="","",SUMPRODUCT(--(C$7&gt;'2. Investicijos'!$F$5:$F$24),--(C$7&lt;='2. Investicijos'!$F$5:$F$24+'2. Investicijos'!$G$5:$G$24),IFERROR(('2. Investicijos'!$M$5:$M$24+'2. Investicijos'!$N$5:$N$24)*(1-((C$7-'2. Investicijos'!$F$5:$F$24)-1)/'2. Investicijos'!$G$5:$G$24),0))*$C$5)</f>
        <v>#VALUE!</v>
      </c>
      <c r="D10" s="34" t="e" cm="1">
        <f t="array" ref="D10">IF($C$5="","",SUMPRODUCT(--(D$7&gt;'2. Investicijos'!$F$5:$F$24),--(D$7&lt;='2. Investicijos'!$F$5:$F$24+'2. Investicijos'!$G$5:$G$24),IFERROR(('2. Investicijos'!$M$5:$M$24+'2. Investicijos'!$N$5:$N$24)*(1-((D$7-'2. Investicijos'!$F$5:$F$24)-1)/'2. Investicijos'!$G$5:$G$24),0))*$C$5)</f>
        <v>#VALUE!</v>
      </c>
      <c r="E10" s="34" t="e" cm="1">
        <f t="array" ref="E10">IF($C$5="","",SUMPRODUCT(--(E$7&gt;'2. Investicijos'!$F$5:$F$24),--(E$7&lt;='2. Investicijos'!$F$5:$F$24+'2. Investicijos'!$G$5:$G$24),IFERROR(('2. Investicijos'!$M$5:$M$24+'2. Investicijos'!$N$5:$N$24)*(1-((E$7-'2. Investicijos'!$F$5:$F$24)-1)/'2. Investicijos'!$G$5:$G$24),0))*$C$5)</f>
        <v>#VALUE!</v>
      </c>
      <c r="F10" s="34" t="e" cm="1">
        <f t="array" ref="F10">IF($C$5="","",SUMPRODUCT(--(F$7&gt;'2. Investicijos'!$F$5:$F$24),--(F$7&lt;='2. Investicijos'!$F$5:$F$24+'2. Investicijos'!$G$5:$G$24),IFERROR(('2. Investicijos'!$M$5:$M$24+'2. Investicijos'!$N$5:$N$24)*(1-((F$7-'2. Investicijos'!$F$5:$F$24)-1)/'2. Investicijos'!$G$5:$G$24),0))*$C$5)</f>
        <v>#VALUE!</v>
      </c>
      <c r="G10" s="34" t="e" cm="1">
        <f t="array" ref="G10">IF($C$5="","",SUMPRODUCT(--(G$7&gt;'2. Investicijos'!$F$5:$F$24),--(G$7&lt;='2. Investicijos'!$F$5:$F$24+'2. Investicijos'!$G$5:$G$24),IFERROR(('2. Investicijos'!$M$5:$M$24+'2. Investicijos'!$N$5:$N$24)*(1-((G$7-'2. Investicijos'!$F$5:$F$24)-1)/'2. Investicijos'!$G$5:$G$24),0))*$C$5)</f>
        <v>#VALUE!</v>
      </c>
      <c r="H10" s="34" t="e" cm="1">
        <f t="array" ref="H10">IF($C$5="","",SUMPRODUCT(--(H$7&gt;'2. Investicijos'!$F$5:$F$24),--(H$7&lt;='2. Investicijos'!$F$5:$F$24+'2. Investicijos'!$G$5:$G$24),IFERROR(('2. Investicijos'!$M$5:$M$24+'2. Investicijos'!$N$5:$N$24)*(1-((H$7-'2. Investicijos'!$F$5:$F$24)-1)/'2. Investicijos'!$G$5:$G$24),0))*$C$5)</f>
        <v>#VALUE!</v>
      </c>
      <c r="I10" s="34" t="e" cm="1">
        <f t="array" ref="I10">IF($C$5="","",SUMPRODUCT(--(I$7&gt;'2. Investicijos'!$F$5:$F$24),--(I$7&lt;='2. Investicijos'!$F$5:$F$24+'2. Investicijos'!$G$5:$G$24),IFERROR(('2. Investicijos'!$M$5:$M$24+'2. Investicijos'!$N$5:$N$24)*(1-((I$7-'2. Investicijos'!$F$5:$F$24)-1)/'2. Investicijos'!$G$5:$G$24),0))*$C$5)</f>
        <v>#VALUE!</v>
      </c>
      <c r="J10" s="34" t="e" cm="1">
        <f t="array" ref="J10">IF($C$5="","",SUMPRODUCT(--(J$7&gt;'2. Investicijos'!$F$5:$F$24),--(J$7&lt;='2. Investicijos'!$F$5:$F$24+'2. Investicijos'!$G$5:$G$24),IFERROR(('2. Investicijos'!$M$5:$M$24+'2. Investicijos'!$N$5:$N$24)*(1-((J$7-'2. Investicijos'!$F$5:$F$24)-1)/'2. Investicijos'!$G$5:$G$24),0))*$C$5)</f>
        <v>#VALUE!</v>
      </c>
      <c r="K10" s="34" t="e" cm="1">
        <f t="array" ref="K10">IF($C$5="","",SUMPRODUCT(--(K$7&gt;'2. Investicijos'!$F$5:$F$24),--(K$7&lt;='2. Investicijos'!$F$5:$F$24+'2. Investicijos'!$G$5:$G$24),IFERROR(('2. Investicijos'!$M$5:$M$24+'2. Investicijos'!$N$5:$N$24)*(1-((K$7-'2. Investicijos'!$F$5:$F$24)-1)/'2. Investicijos'!$G$5:$G$24),0))*$C$5)</f>
        <v>#VALUE!</v>
      </c>
      <c r="L10" s="34" t="e" cm="1">
        <f t="array" ref="L10">IF($C$5="","",SUMPRODUCT(--(L$7&gt;'2. Investicijos'!$F$5:$F$24),--(L$7&lt;='2. Investicijos'!$F$5:$F$24+'2. Investicijos'!$G$5:$G$24),IFERROR(('2. Investicijos'!$M$5:$M$24+'2. Investicijos'!$N$5:$N$24)*(1-((L$7-'2. Investicijos'!$F$5:$F$24)-1)/'2. Investicijos'!$G$5:$G$24),0))*$C$5)</f>
        <v>#VALUE!</v>
      </c>
      <c r="M10" s="2"/>
      <c r="N10" s="2"/>
      <c r="O10" s="2"/>
      <c r="P10" s="2"/>
      <c r="Q10" s="2"/>
      <c r="R10" s="2"/>
      <c r="S10" s="2"/>
      <c r="T10" s="2"/>
    </row>
    <row r="11" spans="1:20">
      <c r="A11" s="35">
        <v>4</v>
      </c>
      <c r="B11" s="36" t="s">
        <v>133</v>
      </c>
      <c r="C11" s="74">
        <f t="shared" ref="C11:L11" si="0">IF(C8="","",C8+IFERROR(C9,0)+IFERROR(C10,0))</f>
        <v>0</v>
      </c>
      <c r="D11" s="74">
        <f t="shared" si="0"/>
        <v>0</v>
      </c>
      <c r="E11" s="74">
        <f t="shared" si="0"/>
        <v>0</v>
      </c>
      <c r="F11" s="74">
        <f t="shared" si="0"/>
        <v>0</v>
      </c>
      <c r="G11" s="74">
        <f t="shared" si="0"/>
        <v>0</v>
      </c>
      <c r="H11" s="74">
        <f t="shared" si="0"/>
        <v>0</v>
      </c>
      <c r="I11" s="74">
        <f t="shared" si="0"/>
        <v>0</v>
      </c>
      <c r="J11" s="74">
        <f t="shared" si="0"/>
        <v>0</v>
      </c>
      <c r="K11" s="74">
        <f t="shared" si="0"/>
        <v>0</v>
      </c>
      <c r="L11" s="74">
        <f t="shared" si="0"/>
        <v>0</v>
      </c>
      <c r="M11" s="2"/>
      <c r="N11" s="2"/>
      <c r="O11" s="2"/>
      <c r="P11" s="2"/>
      <c r="Q11" s="2"/>
      <c r="R11" s="2"/>
      <c r="S11" s="2"/>
      <c r="T11" s="2"/>
    </row>
    <row r="12" spans="1:20">
      <c r="A12" s="22">
        <v>5</v>
      </c>
      <c r="B12" s="19" t="s">
        <v>134</v>
      </c>
      <c r="C12" s="34">
        <f>IF('3. Finansinės prielaidos'!C30="","",'3. Finansinės prielaidos'!C30)</f>
        <v>0</v>
      </c>
      <c r="D12" s="34">
        <f>IF('3. Finansinės prielaidos'!D30="","",'3. Finansinės prielaidos'!D30)</f>
        <v>0</v>
      </c>
      <c r="E12" s="34">
        <f>IF('3. Finansinės prielaidos'!E30="","",'3. Finansinės prielaidos'!E30)</f>
        <v>0</v>
      </c>
      <c r="F12" s="34">
        <f>IF('3. Finansinės prielaidos'!F30="","",'3. Finansinės prielaidos'!F30)</f>
        <v>0</v>
      </c>
      <c r="G12" s="34">
        <f>IF('3. Finansinės prielaidos'!G30="","",'3. Finansinės prielaidos'!G30)</f>
        <v>0</v>
      </c>
      <c r="H12" s="34">
        <f>IF('3. Finansinės prielaidos'!H30="","",'3. Finansinės prielaidos'!H30)</f>
        <v>0</v>
      </c>
      <c r="I12" s="34">
        <f>IF('3. Finansinės prielaidos'!I30="","",'3. Finansinės prielaidos'!I30)</f>
        <v>0</v>
      </c>
      <c r="J12" s="34">
        <f>IF('3. Finansinės prielaidos'!J30="","",'3. Finansinės prielaidos'!J30)</f>
        <v>0</v>
      </c>
      <c r="K12" s="34">
        <f>IF('3. Finansinės prielaidos'!K30="","",'3. Finansinės prielaidos'!K30)</f>
        <v>0</v>
      </c>
      <c r="L12" s="34">
        <f>IF('3. Finansinės prielaidos'!L30="","",'3. Finansinės prielaidos'!L30)</f>
        <v>0</v>
      </c>
      <c r="M12" s="2"/>
      <c r="N12" s="2"/>
      <c r="O12" s="2"/>
      <c r="P12" s="2"/>
      <c r="Q12" s="2"/>
      <c r="R12" s="2"/>
      <c r="S12" s="2"/>
      <c r="T12" s="2"/>
    </row>
    <row r="13" spans="1:20">
      <c r="A13" s="22">
        <v>6</v>
      </c>
      <c r="B13" s="19" t="s">
        <v>135</v>
      </c>
      <c r="C13" s="34">
        <f>'5A. Pagalbiniai skaičiavimai'!F25</f>
        <v>0</v>
      </c>
      <c r="D13" s="34">
        <f>'5A. Pagalbiniai skaičiavimai'!G25</f>
        <v>0</v>
      </c>
      <c r="E13" s="34">
        <f>'5A. Pagalbiniai skaičiavimai'!H25</f>
        <v>0</v>
      </c>
      <c r="F13" s="34">
        <f>'5A. Pagalbiniai skaičiavimai'!I25</f>
        <v>0</v>
      </c>
      <c r="G13" s="34">
        <f>'5A. Pagalbiniai skaičiavimai'!J25</f>
        <v>0</v>
      </c>
      <c r="H13" s="34">
        <f>'5A. Pagalbiniai skaičiavimai'!K25</f>
        <v>0</v>
      </c>
      <c r="I13" s="34">
        <f>'5A. Pagalbiniai skaičiavimai'!L25</f>
        <v>0</v>
      </c>
      <c r="J13" s="34">
        <f>'5A. Pagalbiniai skaičiavimai'!M25</f>
        <v>0</v>
      </c>
      <c r="K13" s="34">
        <f>'5A. Pagalbiniai skaičiavimai'!N25</f>
        <v>0</v>
      </c>
      <c r="L13" s="34">
        <f>'5A. Pagalbiniai skaičiavimai'!O25</f>
        <v>0</v>
      </c>
      <c r="M13" s="2"/>
      <c r="N13" s="2"/>
      <c r="O13" s="2"/>
      <c r="P13" s="2"/>
      <c r="Q13" s="2"/>
      <c r="R13" s="2"/>
      <c r="S13" s="2"/>
      <c r="T13" s="2"/>
    </row>
    <row r="14" spans="1:20">
      <c r="A14" s="22">
        <v>7</v>
      </c>
      <c r="B14" s="19" t="s">
        <v>136</v>
      </c>
      <c r="C14" s="34">
        <f>'5A. Pagalbiniai skaičiavimai'!P25</f>
        <v>0</v>
      </c>
      <c r="D14" s="34">
        <f>'5A. Pagalbiniai skaičiavimai'!Q25</f>
        <v>0</v>
      </c>
      <c r="E14" s="34">
        <f>'5A. Pagalbiniai skaičiavimai'!R25</f>
        <v>0</v>
      </c>
      <c r="F14" s="34">
        <f>'5A. Pagalbiniai skaičiavimai'!S25</f>
        <v>0</v>
      </c>
      <c r="G14" s="34">
        <f>'5A. Pagalbiniai skaičiavimai'!T25</f>
        <v>0</v>
      </c>
      <c r="H14" s="34">
        <f>'5A. Pagalbiniai skaičiavimai'!U25</f>
        <v>0</v>
      </c>
      <c r="I14" s="34">
        <f>'5A. Pagalbiniai skaičiavimai'!V25</f>
        <v>0</v>
      </c>
      <c r="J14" s="34">
        <f>'5A. Pagalbiniai skaičiavimai'!W25</f>
        <v>0</v>
      </c>
      <c r="K14" s="34">
        <f>'5A. Pagalbiniai skaičiavimai'!X25</f>
        <v>0</v>
      </c>
      <c r="L14" s="34">
        <f>'5A. Pagalbiniai skaičiavimai'!Y25</f>
        <v>0</v>
      </c>
      <c r="M14" s="2"/>
      <c r="N14" s="2"/>
      <c r="O14" s="2"/>
      <c r="P14" s="2"/>
      <c r="Q14" s="2"/>
      <c r="R14" s="2"/>
      <c r="S14" s="2"/>
      <c r="T14" s="2"/>
    </row>
    <row r="15" spans="1:20">
      <c r="A15" s="22">
        <v>8</v>
      </c>
      <c r="B15" s="19" t="s">
        <v>137</v>
      </c>
      <c r="C15" s="34">
        <f>'5A. Pagalbiniai skaičiavimai'!Z25</f>
        <v>0</v>
      </c>
      <c r="D15" s="34">
        <f>'5A. Pagalbiniai skaičiavimai'!AA25</f>
        <v>0</v>
      </c>
      <c r="E15" s="34">
        <f>'5A. Pagalbiniai skaičiavimai'!AB25</f>
        <v>0</v>
      </c>
      <c r="F15" s="34">
        <f>'5A. Pagalbiniai skaičiavimai'!AC25</f>
        <v>0</v>
      </c>
      <c r="G15" s="34">
        <f>'5A. Pagalbiniai skaičiavimai'!AD25</f>
        <v>0</v>
      </c>
      <c r="H15" s="34">
        <f>'5A. Pagalbiniai skaičiavimai'!AE25</f>
        <v>0</v>
      </c>
      <c r="I15" s="34">
        <f>'5A. Pagalbiniai skaičiavimai'!AF25</f>
        <v>0</v>
      </c>
      <c r="J15" s="34">
        <f>'5A. Pagalbiniai skaičiavimai'!AG25</f>
        <v>0</v>
      </c>
      <c r="K15" s="34">
        <f>'5A. Pagalbiniai skaičiavimai'!AH25</f>
        <v>0</v>
      </c>
      <c r="L15" s="34">
        <f>'5A. Pagalbiniai skaičiavimai'!AI25</f>
        <v>0</v>
      </c>
      <c r="M15" s="2"/>
      <c r="N15" s="2"/>
      <c r="O15" s="2"/>
      <c r="P15" s="2"/>
      <c r="Q15" s="2"/>
      <c r="R15" s="2"/>
      <c r="S15" s="2"/>
      <c r="T15" s="2"/>
    </row>
    <row r="16" spans="1:20">
      <c r="A16" s="22">
        <v>9</v>
      </c>
      <c r="B16" s="19" t="s">
        <v>138</v>
      </c>
      <c r="C16" s="34">
        <f>'5A. Pagalbiniai skaičiavimai'!AJ25</f>
        <v>0</v>
      </c>
      <c r="D16" s="34">
        <f>'5A. Pagalbiniai skaičiavimai'!AK25</f>
        <v>0</v>
      </c>
      <c r="E16" s="34">
        <f>'5A. Pagalbiniai skaičiavimai'!AL25</f>
        <v>0</v>
      </c>
      <c r="F16" s="34">
        <f>'5A. Pagalbiniai skaičiavimai'!AM25</f>
        <v>0</v>
      </c>
      <c r="G16" s="34">
        <f>'5A. Pagalbiniai skaičiavimai'!AN25</f>
        <v>0</v>
      </c>
      <c r="H16" s="34">
        <f>'5A. Pagalbiniai skaičiavimai'!AO25</f>
        <v>0</v>
      </c>
      <c r="I16" s="34">
        <f>'5A. Pagalbiniai skaičiavimai'!AP25</f>
        <v>0</v>
      </c>
      <c r="J16" s="34">
        <f>'5A. Pagalbiniai skaičiavimai'!AQ25</f>
        <v>0</v>
      </c>
      <c r="K16" s="34">
        <f>'5A. Pagalbiniai skaičiavimai'!AR25</f>
        <v>0</v>
      </c>
      <c r="L16" s="34">
        <f>'5A. Pagalbiniai skaičiavimai'!AS25</f>
        <v>0</v>
      </c>
      <c r="M16" s="2"/>
      <c r="N16" s="2"/>
      <c r="O16" s="2"/>
      <c r="P16" s="2"/>
      <c r="Q16" s="2"/>
      <c r="R16" s="2"/>
      <c r="S16" s="2"/>
      <c r="T16" s="2"/>
    </row>
    <row r="17" spans="1:20">
      <c r="A17" s="35">
        <v>10</v>
      </c>
      <c r="B17" s="36" t="s">
        <v>161</v>
      </c>
      <c r="C17" s="74">
        <f t="shared" ref="C17:L17" si="1">IF(C12="","",C12+IFERROR(C16,0))</f>
        <v>0</v>
      </c>
      <c r="D17" s="74">
        <f t="shared" si="1"/>
        <v>0</v>
      </c>
      <c r="E17" s="74">
        <f t="shared" si="1"/>
        <v>0</v>
      </c>
      <c r="F17" s="74">
        <f t="shared" si="1"/>
        <v>0</v>
      </c>
      <c r="G17" s="74">
        <f t="shared" si="1"/>
        <v>0</v>
      </c>
      <c r="H17" s="74">
        <f t="shared" si="1"/>
        <v>0</v>
      </c>
      <c r="I17" s="74">
        <f t="shared" si="1"/>
        <v>0</v>
      </c>
      <c r="J17" s="74">
        <f t="shared" si="1"/>
        <v>0</v>
      </c>
      <c r="K17" s="74">
        <f t="shared" si="1"/>
        <v>0</v>
      </c>
      <c r="L17" s="74">
        <f t="shared" si="1"/>
        <v>0</v>
      </c>
      <c r="M17" s="2"/>
      <c r="N17" s="2"/>
      <c r="O17" s="2"/>
      <c r="P17" s="2"/>
      <c r="Q17" s="2"/>
      <c r="R17" s="2"/>
      <c r="S17" s="2"/>
      <c r="T17" s="2"/>
    </row>
    <row r="18" spans="1:20">
      <c r="A18" s="22">
        <v>11</v>
      </c>
      <c r="B18" s="19" t="s">
        <v>139</v>
      </c>
      <c r="C18" s="34">
        <f>IF('3. Finansinės prielaidos'!C31="","",'3. Finansinės prielaidos'!C31)</f>
        <v>0</v>
      </c>
      <c r="D18" s="34">
        <f>IF('3. Finansinės prielaidos'!D31="","",'3. Finansinės prielaidos'!D31)</f>
        <v>0</v>
      </c>
      <c r="E18" s="34">
        <f>IF('3. Finansinės prielaidos'!E31="","",'3. Finansinės prielaidos'!E31)</f>
        <v>0</v>
      </c>
      <c r="F18" s="34">
        <f>IF('3. Finansinės prielaidos'!F31="","",'3. Finansinės prielaidos'!F31)</f>
        <v>0</v>
      </c>
      <c r="G18" s="34">
        <f>IF('3. Finansinės prielaidos'!G31="","",'3. Finansinės prielaidos'!G31)</f>
        <v>0</v>
      </c>
      <c r="H18" s="34">
        <f>IF('3. Finansinės prielaidos'!H31="","",'3. Finansinės prielaidos'!H31)</f>
        <v>0</v>
      </c>
      <c r="I18" s="34">
        <f>IF('3. Finansinės prielaidos'!I31="","",'3. Finansinės prielaidos'!I31)</f>
        <v>0</v>
      </c>
      <c r="J18" s="34">
        <f>IF('3. Finansinės prielaidos'!J31="","",'3. Finansinės prielaidos'!J31)</f>
        <v>0</v>
      </c>
      <c r="K18" s="34">
        <f>IF('3. Finansinės prielaidos'!K31="","",'3. Finansinės prielaidos'!K31)</f>
        <v>0</v>
      </c>
      <c r="L18" s="34">
        <f>IF('3. Finansinės prielaidos'!L31="","",'3. Finansinės prielaidos'!L31)</f>
        <v>0</v>
      </c>
      <c r="M18" s="2"/>
      <c r="N18" s="2"/>
      <c r="O18" s="2"/>
      <c r="P18" s="2"/>
      <c r="Q18" s="2"/>
      <c r="R18" s="2"/>
      <c r="S18" s="2"/>
      <c r="T18" s="2"/>
    </row>
    <row r="19" spans="1:20">
      <c r="A19" s="22">
        <v>12</v>
      </c>
      <c r="B19" s="19" t="s">
        <v>140</v>
      </c>
      <c r="C19" s="34">
        <f>IF('3. Finansinės prielaidos'!C32="","",'3. Finansinės prielaidos'!C32)</f>
        <v>0</v>
      </c>
      <c r="D19" s="34">
        <f>IF('3. Finansinės prielaidos'!D32="","",'3. Finansinės prielaidos'!D32)</f>
        <v>0</v>
      </c>
      <c r="E19" s="34">
        <f>IF('3. Finansinės prielaidos'!E32="","",'3. Finansinės prielaidos'!E32)</f>
        <v>0</v>
      </c>
      <c r="F19" s="34">
        <f>IF('3. Finansinės prielaidos'!F32="","",'3. Finansinės prielaidos'!F32)</f>
        <v>0</v>
      </c>
      <c r="G19" s="34">
        <f>IF('3. Finansinės prielaidos'!G32="","",'3. Finansinės prielaidos'!G32)</f>
        <v>0</v>
      </c>
      <c r="H19" s="34">
        <f>IF('3. Finansinės prielaidos'!H32="","",'3. Finansinės prielaidos'!H32)</f>
        <v>0</v>
      </c>
      <c r="I19" s="34">
        <f>IF('3. Finansinės prielaidos'!I32="","",'3. Finansinės prielaidos'!I32)</f>
        <v>0</v>
      </c>
      <c r="J19" s="34">
        <f>IF('3. Finansinės prielaidos'!J32="","",'3. Finansinės prielaidos'!J32)</f>
        <v>0</v>
      </c>
      <c r="K19" s="34">
        <f>IF('3. Finansinės prielaidos'!K32="","",'3. Finansinės prielaidos'!K32)</f>
        <v>0</v>
      </c>
      <c r="L19" s="34">
        <f>IF('3. Finansinės prielaidos'!L32="","",'3. Finansinės prielaidos'!L32)</f>
        <v>0</v>
      </c>
      <c r="M19" s="2"/>
      <c r="N19" s="2"/>
      <c r="O19" s="2"/>
      <c r="P19" s="2"/>
      <c r="Q19" s="2"/>
      <c r="R19" s="2"/>
      <c r="S19" s="2"/>
      <c r="T19" s="2"/>
    </row>
    <row r="20" spans="1:20">
      <c r="A20" s="22">
        <v>13</v>
      </c>
      <c r="B20" s="19" t="s">
        <v>141</v>
      </c>
      <c r="C20" s="34" cm="1">
        <f t="array" ref="C20">IF(C21="","",SUMPRODUCT('4. Metinis CAPEX'!F$9:F$28,IFERROR(('2. Investicijos'!$I$5:$I$24+'2. Investicijos'!$J$5:$J$24+'2. Investicijos'!$K$5:$K$24+'2. Investicijos'!$L$5:$L$24)/'2. Investicijos'!$H$5:$H$24,0)))</f>
        <v>0</v>
      </c>
      <c r="D20" s="34" cm="1">
        <f t="array" ref="D20">IF(D21="","",SUMPRODUCT('4. Metinis CAPEX'!G$9:G$28,IFERROR(('2. Investicijos'!$I$5:$I$24+'2. Investicijos'!$J$5:$J$24+'2. Investicijos'!$K$5:$K$24+'2. Investicijos'!$L$5:$L$24)/'2. Investicijos'!$H$5:$H$24,0)))</f>
        <v>0</v>
      </c>
      <c r="E20" s="34" cm="1">
        <f t="array" ref="E20">IF(E21="","",SUMPRODUCT('4. Metinis CAPEX'!H$9:H$28,IFERROR(('2. Investicijos'!$I$5:$I$24+'2. Investicijos'!$J$5:$J$24+'2. Investicijos'!$K$5:$K$24+'2. Investicijos'!$L$5:$L$24)/'2. Investicijos'!$H$5:$H$24,0)))</f>
        <v>0</v>
      </c>
      <c r="F20" s="34" cm="1">
        <f t="array" ref="F20">IF(F21="","",SUMPRODUCT('4. Metinis CAPEX'!I$9:I$28,IFERROR(('2. Investicijos'!$I$5:$I$24+'2. Investicijos'!$J$5:$J$24+'2. Investicijos'!$K$5:$K$24+'2. Investicijos'!$L$5:$L$24)/'2. Investicijos'!$H$5:$H$24,0)))</f>
        <v>0</v>
      </c>
      <c r="G20" s="34" cm="1">
        <f t="array" ref="G20">IF(G21="","",SUMPRODUCT('4. Metinis CAPEX'!J$9:J$28,IFERROR(('2. Investicijos'!$I$5:$I$24+'2. Investicijos'!$J$5:$J$24+'2. Investicijos'!$K$5:$K$24+'2. Investicijos'!$L$5:$L$24)/'2. Investicijos'!$H$5:$H$24,0)))</f>
        <v>0</v>
      </c>
      <c r="H20" s="34" cm="1">
        <f t="array" ref="H20">IF(H21="","",SUMPRODUCT('4. Metinis CAPEX'!K$9:K$28,IFERROR(('2. Investicijos'!$I$5:$I$24+'2. Investicijos'!$J$5:$J$24+'2. Investicijos'!$K$5:$K$24+'2. Investicijos'!$L$5:$L$24)/'2. Investicijos'!$H$5:$H$24,0)))</f>
        <v>0</v>
      </c>
      <c r="I20" s="34" cm="1">
        <f t="array" ref="I20">IF(I21="","",SUMPRODUCT('4. Metinis CAPEX'!L$9:L$28,IFERROR(('2. Investicijos'!$I$5:$I$24+'2. Investicijos'!$J$5:$J$24+'2. Investicijos'!$K$5:$K$24+'2. Investicijos'!$L$5:$L$24)/'2. Investicijos'!$H$5:$H$24,0)))</f>
        <v>0</v>
      </c>
      <c r="J20" s="34" cm="1">
        <f t="array" ref="J20">IF(J21="","",SUMPRODUCT('4. Metinis CAPEX'!M$9:M$28,IFERROR(('2. Investicijos'!$I$5:$I$24+'2. Investicijos'!$J$5:$J$24+'2. Investicijos'!$K$5:$K$24+'2. Investicijos'!$L$5:$L$24)/'2. Investicijos'!$H$5:$H$24,0)))</f>
        <v>0</v>
      </c>
      <c r="K20" s="34" cm="1">
        <f t="array" ref="K20">IF(K21="","",SUMPRODUCT('4. Metinis CAPEX'!N$9:N$28,IFERROR(('2. Investicijos'!$I$5:$I$24+'2. Investicijos'!$J$5:$J$24+'2. Investicijos'!$K$5:$K$24+'2. Investicijos'!$L$5:$L$24)/'2. Investicijos'!$H$5:$H$24,0)))</f>
        <v>0</v>
      </c>
      <c r="L20" s="34" cm="1">
        <f t="array" ref="L20">IF(L21="","",SUMPRODUCT('4. Metinis CAPEX'!O$9:O$28,IFERROR(('2. Investicijos'!$I$5:$I$24+'2. Investicijos'!$J$5:$J$24+'2. Investicijos'!$K$5:$K$24+'2. Investicijos'!$L$5:$L$24)/'2. Investicijos'!$H$5:$H$24,0)))</f>
        <v>0</v>
      </c>
      <c r="M20" s="2"/>
      <c r="N20" s="2"/>
      <c r="O20" s="2"/>
      <c r="P20" s="2"/>
      <c r="Q20" s="2"/>
      <c r="R20" s="2"/>
      <c r="S20" s="2"/>
      <c r="T20" s="2"/>
    </row>
    <row r="21" spans="1:20">
      <c r="A21" s="22">
        <v>14</v>
      </c>
      <c r="B21" s="19" t="s">
        <v>142</v>
      </c>
      <c r="C21" s="34">
        <f>'4. Metinis CAPEX'!F5</f>
        <v>0</v>
      </c>
      <c r="D21" s="34">
        <f>'4. Metinis CAPEX'!G5</f>
        <v>0</v>
      </c>
      <c r="E21" s="34">
        <f>'4. Metinis CAPEX'!H5</f>
        <v>0</v>
      </c>
      <c r="F21" s="34">
        <f>'4. Metinis CAPEX'!I5</f>
        <v>0</v>
      </c>
      <c r="G21" s="34">
        <f>'4. Metinis CAPEX'!J5</f>
        <v>0</v>
      </c>
      <c r="H21" s="34">
        <f>'4. Metinis CAPEX'!K5</f>
        <v>0</v>
      </c>
      <c r="I21" s="34">
        <f>'4. Metinis CAPEX'!L5</f>
        <v>0</v>
      </c>
      <c r="J21" s="34">
        <f>'4. Metinis CAPEX'!M5</f>
        <v>0</v>
      </c>
      <c r="K21" s="34">
        <f>'4. Metinis CAPEX'!N5</f>
        <v>0</v>
      </c>
      <c r="L21" s="34">
        <f>'4. Metinis CAPEX'!O5</f>
        <v>0</v>
      </c>
      <c r="M21" s="2"/>
      <c r="N21" s="2"/>
      <c r="O21" s="2"/>
      <c r="P21" s="2"/>
      <c r="Q21" s="2"/>
      <c r="R21" s="2"/>
      <c r="S21" s="2"/>
      <c r="T21" s="2"/>
    </row>
    <row r="22" spans="1:20">
      <c r="A22" s="38">
        <v>15</v>
      </c>
      <c r="B22" s="14" t="s">
        <v>157</v>
      </c>
      <c r="C22" s="39">
        <f>IF(OR(C14="",C15=""),"",C14+C15+0)</f>
        <v>0</v>
      </c>
      <c r="D22" s="39" cm="1">
        <f t="array" ref="D22">IF(OR(D14="",D15=""),"",D14+D15+MAX(0,-C24)*IFERROR(SUMPRODUCT('2. Investicijos'!$N$5:$N$24,'2. Investicijos'!$O$5:$O$24/100)/SUM('2. Investicijos'!$N$5:$N$24),0))</f>
        <v>0</v>
      </c>
      <c r="E22" s="39" cm="1">
        <f t="array" ref="E22">IF(OR(E14="",E15=""),"",E14+E15+MAX(0,-D24)*IFERROR(SUMPRODUCT('2. Investicijos'!$N$5:$N$24,'2. Investicijos'!$O$5:$O$24/100)/SUM('2. Investicijos'!$N$5:$N$24),0))</f>
        <v>0</v>
      </c>
      <c r="F22" s="39" cm="1">
        <f t="array" ref="F22">IF(OR(F14="",F15=""),"",F14+F15+MAX(0,-E24)*IFERROR(SUMPRODUCT('2. Investicijos'!$N$5:$N$24,'2. Investicijos'!$O$5:$O$24/100)/SUM('2. Investicijos'!$N$5:$N$24),0))</f>
        <v>0</v>
      </c>
      <c r="G22" s="39" cm="1">
        <f t="array" ref="G22">IF(OR(G14="",G15=""),"",G14+G15+MAX(0,-F24)*IFERROR(SUMPRODUCT('2. Investicijos'!$N$5:$N$24,'2. Investicijos'!$O$5:$O$24/100)/SUM('2. Investicijos'!$N$5:$N$24),0))</f>
        <v>0</v>
      </c>
      <c r="H22" s="39" cm="1">
        <f t="array" ref="H22">IF(OR(H14="",H15=""),"",H14+H15+MAX(0,-G24)*IFERROR(SUMPRODUCT('2. Investicijos'!$N$5:$N$24,'2. Investicijos'!$O$5:$O$24/100)/SUM('2. Investicijos'!$N$5:$N$24),0))</f>
        <v>0</v>
      </c>
      <c r="I22" s="39" cm="1">
        <f t="array" ref="I22">IF(OR(I14="",I15=""),"",I14+I15+MAX(0,-H24)*IFERROR(SUMPRODUCT('2. Investicijos'!$N$5:$N$24,'2. Investicijos'!$O$5:$O$24/100)/SUM('2. Investicijos'!$N$5:$N$24),0))</f>
        <v>0</v>
      </c>
      <c r="J22" s="39" cm="1">
        <f t="array" ref="J22">IF(OR(J14="",J15=""),"",J14+J15+MAX(0,-I24)*IFERROR(SUMPRODUCT('2. Investicijos'!$N$5:$N$24,'2. Investicijos'!$O$5:$O$24/100)/SUM('2. Investicijos'!$N$5:$N$24),0))</f>
        <v>0</v>
      </c>
      <c r="K22" s="39" cm="1">
        <f t="array" ref="K22">IF(OR(K14="",K15=""),"",K14+K15+MAX(0,-J24)*IFERROR(SUMPRODUCT('2. Investicijos'!$N$5:$N$24,'2. Investicijos'!$O$5:$O$24/100)/SUM('2. Investicijos'!$N$5:$N$24),0))</f>
        <v>0</v>
      </c>
      <c r="L22" s="39" cm="1">
        <f t="array" ref="L22">IF(OR(L14="",L15=""),"",L14+L15+MAX(0,-K24)*IFERROR(SUMPRODUCT('2. Investicijos'!$N$5:$N$24,'2. Investicijos'!$O$5:$O$24/100)/SUM('2. Investicijos'!$N$5:$N$24),0))</f>
        <v>0</v>
      </c>
      <c r="M22" s="2"/>
      <c r="N22" s="2"/>
      <c r="O22" s="2"/>
      <c r="P22" s="2"/>
      <c r="Q22" s="2"/>
      <c r="R22" s="2"/>
      <c r="S22" s="2"/>
      <c r="T22" s="2"/>
    </row>
    <row r="23" spans="1:20">
      <c r="A23" s="33">
        <v>16</v>
      </c>
      <c r="B23" s="17" t="s">
        <v>143</v>
      </c>
      <c r="C23" s="20">
        <f t="shared" ref="C23:L23" si="2">IF(C21="","",IFERROR(C9,0)+IFERROR(C10,0)+IFERROR(C13,0)+IFERROR(C20,0)-C21-IFERROR(C22,0))</f>
        <v>0</v>
      </c>
      <c r="D23" s="20">
        <f t="shared" si="2"/>
        <v>0</v>
      </c>
      <c r="E23" s="20">
        <f t="shared" si="2"/>
        <v>0</v>
      </c>
      <c r="F23" s="20">
        <f t="shared" si="2"/>
        <v>0</v>
      </c>
      <c r="G23" s="20">
        <f t="shared" si="2"/>
        <v>0</v>
      </c>
      <c r="H23" s="20">
        <f t="shared" si="2"/>
        <v>0</v>
      </c>
      <c r="I23" s="20">
        <f t="shared" si="2"/>
        <v>0</v>
      </c>
      <c r="J23" s="20">
        <f t="shared" si="2"/>
        <v>0</v>
      </c>
      <c r="K23" s="20">
        <f t="shared" si="2"/>
        <v>0</v>
      </c>
      <c r="L23" s="20">
        <f t="shared" si="2"/>
        <v>0</v>
      </c>
      <c r="M23" s="2"/>
      <c r="N23" s="2"/>
      <c r="O23" s="2"/>
      <c r="P23" s="2"/>
      <c r="Q23" s="2"/>
      <c r="R23" s="2"/>
      <c r="S23" s="2"/>
      <c r="T23" s="2"/>
    </row>
    <row r="24" spans="1:20">
      <c r="A24" s="38">
        <v>17</v>
      </c>
      <c r="B24" s="14" t="s">
        <v>158</v>
      </c>
      <c r="C24" s="37">
        <f>IF(C18="","",C18+SUM($C$23:C23))</f>
        <v>0</v>
      </c>
      <c r="D24" s="37">
        <f>IF(D18="","",D18+SUM($C$23:D23))</f>
        <v>0</v>
      </c>
      <c r="E24" s="37">
        <f>IF(E18="","",E18+SUM($C$23:E23))</f>
        <v>0</v>
      </c>
      <c r="F24" s="37">
        <f>IF(F18="","",F18+SUM($C$23:F23))</f>
        <v>0</v>
      </c>
      <c r="G24" s="37">
        <f>IF(G18="","",G18+SUM($C$23:G23))</f>
        <v>0</v>
      </c>
      <c r="H24" s="37">
        <f>IF(H18="","",H18+SUM($C$23:H23))</f>
        <v>0</v>
      </c>
      <c r="I24" s="37">
        <f>IF(I18="","",I18+SUM($C$23:I23))</f>
        <v>0</v>
      </c>
      <c r="J24" s="37">
        <f>IF(J18="","",J18+SUM($C$23:J23))</f>
        <v>0</v>
      </c>
      <c r="K24" s="37">
        <f>IF(K18="","",K18+SUM($C$23:K23))</f>
        <v>0</v>
      </c>
      <c r="L24" s="37">
        <f>IF(L18="","",L18+SUM($C$23:L23))</f>
        <v>0</v>
      </c>
      <c r="M24" s="2"/>
      <c r="N24" s="2"/>
      <c r="O24" s="2"/>
      <c r="P24" s="2"/>
      <c r="Q24" s="2"/>
      <c r="R24" s="2"/>
      <c r="S24" s="2"/>
      <c r="T24" s="2"/>
    </row>
    <row r="25" spans="1:20">
      <c r="A25" s="35">
        <v>18</v>
      </c>
      <c r="B25" s="36" t="s">
        <v>132</v>
      </c>
      <c r="C25" s="37">
        <f t="shared" ref="C25:L25" si="3">IF(OR(C17="",C24=""),"",C17-C24)</f>
        <v>0</v>
      </c>
      <c r="D25" s="37">
        <f t="shared" si="3"/>
        <v>0</v>
      </c>
      <c r="E25" s="37">
        <f t="shared" si="3"/>
        <v>0</v>
      </c>
      <c r="F25" s="37">
        <f t="shared" si="3"/>
        <v>0</v>
      </c>
      <c r="G25" s="37">
        <f t="shared" si="3"/>
        <v>0</v>
      </c>
      <c r="H25" s="37">
        <f t="shared" si="3"/>
        <v>0</v>
      </c>
      <c r="I25" s="37">
        <f t="shared" si="3"/>
        <v>0</v>
      </c>
      <c r="J25" s="37">
        <f t="shared" si="3"/>
        <v>0</v>
      </c>
      <c r="K25" s="37">
        <f t="shared" si="3"/>
        <v>0</v>
      </c>
      <c r="L25" s="37">
        <f t="shared" si="3"/>
        <v>0</v>
      </c>
      <c r="M25" s="2"/>
      <c r="N25" s="2"/>
      <c r="O25" s="2"/>
      <c r="P25" s="2"/>
      <c r="Q25" s="2"/>
      <c r="R25" s="2"/>
      <c r="S25" s="2"/>
      <c r="T25" s="2"/>
    </row>
    <row r="26" spans="1:20">
      <c r="A26" s="35">
        <v>19</v>
      </c>
      <c r="B26" s="36" t="s">
        <v>308</v>
      </c>
      <c r="C26" s="40" t="str">
        <f t="shared" ref="C26:L26" si="4">IF(OR(C25="",C11="",C11&lt;=0),"",C25/C11)</f>
        <v/>
      </c>
      <c r="D26" s="40" t="str">
        <f t="shared" si="4"/>
        <v/>
      </c>
      <c r="E26" s="40" t="str">
        <f t="shared" si="4"/>
        <v/>
      </c>
      <c r="F26" s="40" t="str">
        <f t="shared" si="4"/>
        <v/>
      </c>
      <c r="G26" s="40" t="str">
        <f t="shared" si="4"/>
        <v/>
      </c>
      <c r="H26" s="40" t="str">
        <f t="shared" si="4"/>
        <v/>
      </c>
      <c r="I26" s="40" t="str">
        <f t="shared" si="4"/>
        <v/>
      </c>
      <c r="J26" s="40" t="str">
        <f t="shared" si="4"/>
        <v/>
      </c>
      <c r="K26" s="40" t="str">
        <f t="shared" si="4"/>
        <v/>
      </c>
      <c r="L26" s="40" t="str">
        <f t="shared" si="4"/>
        <v/>
      </c>
      <c r="M26" s="2"/>
      <c r="N26" s="2"/>
      <c r="O26" s="2"/>
      <c r="P26" s="2"/>
      <c r="Q26" s="2"/>
      <c r="R26" s="2"/>
      <c r="S26" s="2"/>
      <c r="T26" s="2"/>
    </row>
    <row r="27" spans="1:20">
      <c r="A27" s="35">
        <v>20</v>
      </c>
      <c r="B27" s="36" t="s">
        <v>24</v>
      </c>
      <c r="C27" s="40" t="str">
        <f t="shared" ref="C27:L27" si="5">IF(OR(C11="",C19="",C11&lt;=0),"",IF(C19+IFERROR(C22,0)=0,"",C11/(C19+IFERROR(C22,0))))</f>
        <v/>
      </c>
      <c r="D27" s="40" t="str">
        <f t="shared" si="5"/>
        <v/>
      </c>
      <c r="E27" s="40" t="str">
        <f t="shared" si="5"/>
        <v/>
      </c>
      <c r="F27" s="40" t="str">
        <f t="shared" si="5"/>
        <v/>
      </c>
      <c r="G27" s="40" t="str">
        <f t="shared" si="5"/>
        <v/>
      </c>
      <c r="H27" s="40" t="str">
        <f t="shared" si="5"/>
        <v/>
      </c>
      <c r="I27" s="40" t="str">
        <f t="shared" si="5"/>
        <v/>
      </c>
      <c r="J27" s="40" t="str">
        <f t="shared" si="5"/>
        <v/>
      </c>
      <c r="K27" s="40" t="str">
        <f t="shared" si="5"/>
        <v/>
      </c>
      <c r="L27" s="40" t="str">
        <f t="shared" si="5"/>
        <v/>
      </c>
      <c r="M27" s="2"/>
      <c r="N27" s="2"/>
      <c r="O27" s="2"/>
      <c r="P27" s="2"/>
      <c r="Q27" s="2"/>
      <c r="R27" s="2"/>
      <c r="S27" s="2"/>
      <c r="T27" s="2"/>
    </row>
    <row r="28" spans="1:20">
      <c r="A28" s="35">
        <v>21</v>
      </c>
      <c r="B28" s="36" t="s">
        <v>25</v>
      </c>
      <c r="C28" s="36" t="str">
        <f t="shared" ref="C28:L28" si="6">IF(OR(C26="",C27=""),"",IF(AND(C26&lt;=5.5,C27&gt;=1.2),"ATITINKA","NEATITINKA"))</f>
        <v/>
      </c>
      <c r="D28" s="36" t="str">
        <f t="shared" si="6"/>
        <v/>
      </c>
      <c r="E28" s="36" t="str">
        <f t="shared" si="6"/>
        <v/>
      </c>
      <c r="F28" s="36" t="str">
        <f t="shared" si="6"/>
        <v/>
      </c>
      <c r="G28" s="36" t="str">
        <f t="shared" si="6"/>
        <v/>
      </c>
      <c r="H28" s="36" t="str">
        <f t="shared" si="6"/>
        <v/>
      </c>
      <c r="I28" s="36" t="str">
        <f t="shared" si="6"/>
        <v/>
      </c>
      <c r="J28" s="36" t="str">
        <f t="shared" si="6"/>
        <v/>
      </c>
      <c r="K28" s="36" t="str">
        <f t="shared" si="6"/>
        <v/>
      </c>
      <c r="L28" s="36" t="str">
        <f t="shared" si="6"/>
        <v/>
      </c>
      <c r="M28" s="2"/>
      <c r="N28" s="2"/>
      <c r="O28" s="2"/>
      <c r="P28" s="2"/>
      <c r="Q28" s="2"/>
      <c r="R28" s="2"/>
      <c r="S28" s="2"/>
      <c r="T28" s="2"/>
    </row>
    <row r="29" spans="1:20">
      <c r="A29" s="2"/>
      <c r="B29" s="2"/>
      <c r="C29" s="2"/>
      <c r="D29" s="2"/>
      <c r="E29" s="2"/>
      <c r="F29" s="2"/>
      <c r="G29" s="2"/>
      <c r="H29" s="2"/>
      <c r="I29" s="2"/>
      <c r="J29" s="2"/>
      <c r="K29" s="2"/>
      <c r="L29" s="2"/>
      <c r="M29" s="2"/>
      <c r="N29" s="2"/>
      <c r="O29" s="2"/>
      <c r="P29" s="2"/>
      <c r="Q29" s="2"/>
      <c r="R29" s="2"/>
      <c r="S29" s="2"/>
      <c r="T29" s="2"/>
    </row>
    <row r="30" spans="1:20" ht="24">
      <c r="A30" s="8" t="s">
        <v>41</v>
      </c>
      <c r="B30" s="8" t="s">
        <v>42</v>
      </c>
      <c r="C30" s="8" t="s">
        <v>43</v>
      </c>
      <c r="D30" s="19"/>
      <c r="E30" s="19"/>
      <c r="F30" s="19"/>
      <c r="G30" s="19"/>
      <c r="H30" s="19"/>
      <c r="I30" s="19"/>
      <c r="J30" s="19"/>
      <c r="K30" s="19"/>
      <c r="L30" s="19"/>
      <c r="M30" s="2"/>
      <c r="N30" s="2"/>
      <c r="O30" s="2"/>
      <c r="P30" s="2"/>
      <c r="Q30" s="2"/>
      <c r="R30" s="2"/>
      <c r="S30" s="2"/>
      <c r="T30" s="2"/>
    </row>
    <row r="31" spans="1:20" ht="33.65" customHeight="1">
      <c r="A31" s="17" t="s">
        <v>308</v>
      </c>
      <c r="B31" s="19">
        <v>5.5</v>
      </c>
      <c r="C31" s="134" t="s">
        <v>275</v>
      </c>
      <c r="D31" s="134"/>
      <c r="E31" s="134"/>
      <c r="F31" s="134"/>
      <c r="G31" s="134"/>
      <c r="H31" s="134"/>
      <c r="I31" s="134"/>
      <c r="J31" s="134"/>
      <c r="K31" s="134"/>
      <c r="L31" s="19"/>
      <c r="M31" s="2"/>
      <c r="N31" s="2"/>
      <c r="O31" s="2"/>
      <c r="P31" s="2"/>
      <c r="Q31" s="2"/>
      <c r="R31" s="2"/>
      <c r="S31" s="2"/>
      <c r="T31" s="2"/>
    </row>
    <row r="32" spans="1:20">
      <c r="A32" s="19" t="s">
        <v>24</v>
      </c>
      <c r="B32" s="19">
        <v>1.2</v>
      </c>
      <c r="C32" s="134" t="s">
        <v>276</v>
      </c>
      <c r="D32" s="134"/>
      <c r="E32" s="134"/>
      <c r="F32" s="134"/>
      <c r="G32" s="134"/>
      <c r="H32" s="134"/>
      <c r="I32" s="134"/>
      <c r="J32" s="134"/>
      <c r="K32" s="134"/>
      <c r="L32" s="19"/>
      <c r="M32" s="2"/>
      <c r="N32" s="2"/>
      <c r="O32" s="2"/>
      <c r="P32" s="2"/>
      <c r="Q32" s="2"/>
      <c r="R32" s="2"/>
      <c r="S32" s="2"/>
      <c r="T32" s="2"/>
    </row>
    <row r="33" spans="1:20">
      <c r="A33" s="19" t="s">
        <v>44</v>
      </c>
      <c r="B33" s="19"/>
      <c r="C33" s="134" t="s">
        <v>45</v>
      </c>
      <c r="D33" s="134"/>
      <c r="E33" s="134"/>
      <c r="F33" s="134"/>
      <c r="G33" s="134"/>
      <c r="H33" s="134"/>
      <c r="I33" s="134"/>
      <c r="J33" s="134"/>
      <c r="K33" s="134"/>
      <c r="L33" s="19"/>
      <c r="M33" s="2"/>
      <c r="N33" s="2"/>
      <c r="O33" s="2"/>
      <c r="P33" s="2"/>
      <c r="Q33" s="2"/>
      <c r="R33" s="2"/>
      <c r="S33" s="2"/>
      <c r="T33" s="2"/>
    </row>
    <row r="34" spans="1:20">
      <c r="A34" s="19" t="s">
        <v>46</v>
      </c>
      <c r="B34" s="19"/>
      <c r="C34" s="129" t="s">
        <v>144</v>
      </c>
      <c r="D34" s="129"/>
      <c r="E34" s="129"/>
      <c r="F34" s="129"/>
      <c r="G34" s="129"/>
      <c r="H34" s="129"/>
      <c r="I34" s="129"/>
      <c r="J34" s="129"/>
      <c r="K34" s="129"/>
      <c r="L34" s="19"/>
      <c r="M34" s="2"/>
      <c r="N34" s="2"/>
      <c r="O34" s="2"/>
      <c r="P34" s="2"/>
      <c r="Q34" s="2"/>
      <c r="R34" s="2"/>
      <c r="S34" s="2"/>
      <c r="T34" s="2"/>
    </row>
    <row r="35" spans="1:20">
      <c r="A35" s="2"/>
      <c r="B35" s="2"/>
      <c r="C35" s="2"/>
      <c r="D35" s="2"/>
      <c r="E35" s="2"/>
      <c r="F35" s="2"/>
      <c r="G35" s="2"/>
      <c r="H35" s="2"/>
      <c r="I35" s="2"/>
      <c r="J35" s="2"/>
      <c r="K35" s="2"/>
      <c r="L35" s="2"/>
      <c r="M35" s="2"/>
      <c r="N35" s="2"/>
      <c r="O35" s="2"/>
      <c r="P35" s="2"/>
      <c r="Q35" s="2"/>
      <c r="R35" s="2"/>
      <c r="S35" s="2"/>
      <c r="T35" s="2"/>
    </row>
    <row r="36" spans="1:20" ht="14.5">
      <c r="A36" s="126" t="s">
        <v>47</v>
      </c>
      <c r="B36" s="126"/>
      <c r="C36" s="126"/>
      <c r="D36" s="126"/>
      <c r="E36" s="126"/>
      <c r="F36" s="126"/>
      <c r="G36" s="126"/>
      <c r="H36" s="126"/>
      <c r="I36" s="126"/>
      <c r="J36" s="126"/>
      <c r="K36" s="126"/>
      <c r="L36" s="126"/>
      <c r="M36" s="126"/>
      <c r="N36" s="126"/>
      <c r="O36" s="126"/>
      <c r="P36" s="126"/>
      <c r="Q36" s="126"/>
      <c r="R36" s="2"/>
      <c r="S36" s="2"/>
      <c r="T36" s="2"/>
    </row>
    <row r="37" spans="1:20" ht="36">
      <c r="A37" s="8" t="s">
        <v>1</v>
      </c>
      <c r="B37" s="8" t="s">
        <v>48</v>
      </c>
      <c r="C37" s="8" t="s">
        <v>25</v>
      </c>
      <c r="D37" s="8" t="s">
        <v>44</v>
      </c>
      <c r="E37" s="8" t="s">
        <v>49</v>
      </c>
      <c r="F37" s="8" t="s">
        <v>319</v>
      </c>
      <c r="G37" s="8" t="s">
        <v>50</v>
      </c>
      <c r="H37" s="8">
        <v>2026</v>
      </c>
      <c r="I37" s="8">
        <v>2027</v>
      </c>
      <c r="J37" s="8">
        <v>2028</v>
      </c>
      <c r="K37" s="8">
        <v>2029</v>
      </c>
      <c r="L37" s="8">
        <v>2030</v>
      </c>
      <c r="M37" s="8">
        <v>2031</v>
      </c>
      <c r="N37" s="8">
        <v>2032</v>
      </c>
      <c r="O37" s="8">
        <v>2033</v>
      </c>
      <c r="P37" s="8">
        <v>2034</v>
      </c>
      <c r="Q37" s="8">
        <v>2035</v>
      </c>
      <c r="R37" s="2"/>
      <c r="S37" s="2"/>
      <c r="T37" s="2"/>
    </row>
    <row r="38" spans="1:20">
      <c r="A38" s="41">
        <v>0</v>
      </c>
      <c r="B38" s="41" t="s">
        <v>124</v>
      </c>
      <c r="C38" s="41" t="str">
        <f>IF(COUNTIF(H38:Q38,"ATITINKA")+COUNTIF(H38:Q38,"NEATITINKA")=0,"",IF(COUNTIF(H38:Q38,"ATITINKA")=10,"ATITINKA","NEATITINKA"))</f>
        <v/>
      </c>
      <c r="D38" s="41" t="str">
        <f>IFERROR(IF(C38="","",IF(C38&lt;&gt;"NEATITINKA","–",INDEX($H$37:$Q$37,1,MATCH("NEATITINKA",H38:Q38,0)))),"")</f>
        <v/>
      </c>
      <c r="E38" s="41" t="str">
        <f>IFERROR(IF(C38="","",IF(C38&lt;&gt;"NEATITINKA","–",IF(INDEX('5A. Pagalbiniai skaičiavimai'!$C$35:$L$35,1,MATCH("NEATITINKA",H38:Q38,0))&lt;=0,"EBITDA ≤ 0",IF(AND(INDEX('5A. Pagalbiniai skaičiavimai'!$C$38:$L$38,1,MATCH("NEATITINKA",H38:Q38,0))&gt;$B$31,INDEX('5A. Pagalbiniai skaičiavimai'!$C$39:$L$39,1,MATCH("NEATITINKA",H38:Q38,0))&lt;$B$32),"Abu kriterijai",IF(INDEX('5A. Pagalbiniai skaičiavimai'!$C$38:$L$38,1,MATCH("NEATITINKA",H38:Q38,0))&gt;$B$31,"Net Debt / EBITDA &gt; 5,5","DSCR &lt; 1,2"))))),"")</f>
        <v/>
      </c>
      <c r="F38" s="42" t="str">
        <f>IF(C38="","",MAX('5A. Pagalbiniai skaičiavimai'!C38:L38))</f>
        <v/>
      </c>
      <c r="G38" s="42" t="str">
        <f>IF(C38="","",MIN('5A. Pagalbiniai skaičiavimai'!C39:L39))</f>
        <v/>
      </c>
      <c r="H38" s="41" t="str">
        <f>IF(OR($B38="",'5A. Pagalbiniai skaičiavimai'!C35="",'5A. Pagalbiniai skaičiavimai'!C38="",'5A. Pagalbiniai skaičiavimai'!C39=""),"",IF(AND('5A. Pagalbiniai skaičiavimai'!C35&gt;0,'5A. Pagalbiniai skaičiavimai'!C38&lt;=$B$31,'5A. Pagalbiniai skaičiavimai'!C39&gt;=$B$32),"ATITINKA","NEATITINKA"))</f>
        <v/>
      </c>
      <c r="I38" s="41" t="str">
        <f>IF(OR($B38="",'5A. Pagalbiniai skaičiavimai'!D35="",'5A. Pagalbiniai skaičiavimai'!D38="",'5A. Pagalbiniai skaičiavimai'!D39=""),"",IF(AND('5A. Pagalbiniai skaičiavimai'!D35&gt;0,'5A. Pagalbiniai skaičiavimai'!D38&lt;=$B$31,'5A. Pagalbiniai skaičiavimai'!D39&gt;=$B$32),"ATITINKA","NEATITINKA"))</f>
        <v/>
      </c>
      <c r="J38" s="41" t="str">
        <f>IF(OR($B38="",'5A. Pagalbiniai skaičiavimai'!E35="",'5A. Pagalbiniai skaičiavimai'!E38="",'5A. Pagalbiniai skaičiavimai'!E39=""),"",IF(AND('5A. Pagalbiniai skaičiavimai'!E35&gt;0,'5A. Pagalbiniai skaičiavimai'!E38&lt;=$B$31,'5A. Pagalbiniai skaičiavimai'!E39&gt;=$B$32),"ATITINKA","NEATITINKA"))</f>
        <v/>
      </c>
      <c r="K38" s="41" t="str">
        <f>IF(OR($B38="",'5A. Pagalbiniai skaičiavimai'!F35="",'5A. Pagalbiniai skaičiavimai'!F38="",'5A. Pagalbiniai skaičiavimai'!F39=""),"",IF(AND('5A. Pagalbiniai skaičiavimai'!F35&gt;0,'5A. Pagalbiniai skaičiavimai'!F38&lt;=$B$31,'5A. Pagalbiniai skaičiavimai'!F39&gt;=$B$32),"ATITINKA","NEATITINKA"))</f>
        <v/>
      </c>
      <c r="L38" s="41" t="str">
        <f>IF(OR($B38="",'5A. Pagalbiniai skaičiavimai'!G35="",'5A. Pagalbiniai skaičiavimai'!G38="",'5A. Pagalbiniai skaičiavimai'!G39=""),"",IF(AND('5A. Pagalbiniai skaičiavimai'!G35&gt;0,'5A. Pagalbiniai skaičiavimai'!G38&lt;=$B$31,'5A. Pagalbiniai skaičiavimai'!G39&gt;=$B$32),"ATITINKA","NEATITINKA"))</f>
        <v/>
      </c>
      <c r="M38" s="41" t="str">
        <f>IF(OR($B38="",'5A. Pagalbiniai skaičiavimai'!H35="",'5A. Pagalbiniai skaičiavimai'!H38="",'5A. Pagalbiniai skaičiavimai'!H39=""),"",IF(AND('5A. Pagalbiniai skaičiavimai'!H35&gt;0,'5A. Pagalbiniai skaičiavimai'!H38&lt;=$B$31,'5A. Pagalbiniai skaičiavimai'!H39&gt;=$B$32),"ATITINKA","NEATITINKA"))</f>
        <v/>
      </c>
      <c r="N38" s="41" t="str">
        <f>IF(OR($B38="",'5A. Pagalbiniai skaičiavimai'!I35="",'5A. Pagalbiniai skaičiavimai'!I38="",'5A. Pagalbiniai skaičiavimai'!I39=""),"",IF(AND('5A. Pagalbiniai skaičiavimai'!I35&gt;0,'5A. Pagalbiniai skaičiavimai'!I38&lt;=$B$31,'5A. Pagalbiniai skaičiavimai'!I39&gt;=$B$32),"ATITINKA","NEATITINKA"))</f>
        <v/>
      </c>
      <c r="O38" s="41" t="str">
        <f>IF(OR($B38="",'5A. Pagalbiniai skaičiavimai'!J35="",'5A. Pagalbiniai skaičiavimai'!J38="",'5A. Pagalbiniai skaičiavimai'!J39=""),"",IF(AND('5A. Pagalbiniai skaičiavimai'!J35&gt;0,'5A. Pagalbiniai skaičiavimai'!J38&lt;=$B$31,'5A. Pagalbiniai skaičiavimai'!J39&gt;=$B$32),"ATITINKA","NEATITINKA"))</f>
        <v/>
      </c>
      <c r="P38" s="41" t="str">
        <f>IF(OR($B38="",'5A. Pagalbiniai skaičiavimai'!K35="",'5A. Pagalbiniai skaičiavimai'!K38="",'5A. Pagalbiniai skaičiavimai'!K39=""),"",IF(AND('5A. Pagalbiniai skaičiavimai'!K35&gt;0,'5A. Pagalbiniai skaičiavimai'!K38&lt;=$B$31,'5A. Pagalbiniai skaičiavimai'!K39&gt;=$B$32),"ATITINKA","NEATITINKA"))</f>
        <v/>
      </c>
      <c r="Q38" s="41" t="str">
        <f>IF(OR($B38="",'5A. Pagalbiniai skaičiavimai'!L35="",'5A. Pagalbiniai skaičiavimai'!L38="",'5A. Pagalbiniai skaičiavimai'!L39=""),"",IF(AND('5A. Pagalbiniai skaičiavimai'!L35&gt;0,'5A. Pagalbiniai skaičiavimai'!L38&lt;=$B$31,'5A. Pagalbiniai skaičiavimai'!L39&gt;=$B$32),"ATITINKA","NEATITINKA"))</f>
        <v/>
      </c>
      <c r="R38" s="2"/>
      <c r="S38" s="2"/>
      <c r="T38" s="2"/>
    </row>
    <row r="39" spans="1:20">
      <c r="A39" s="19">
        <v>1</v>
      </c>
      <c r="B39" s="19" t="str">
        <f>IF(AND(COUNTA('2. Investicijos'!$B$5:$B$5)=1,COUNT('2. Investicijos'!$E$5:$E$5)=1,COUNT('2. Investicijos'!$F$5:$F$5)=1,COUNT('2. Investicijos'!$G$5:$G$5)=1,COUNT('2. Investicijos'!$H$5:$H$5)=1),'2. Investicijos'!B5,"")</f>
        <v/>
      </c>
      <c r="C39" s="19" t="str">
        <f>IF(OR(B39="",COUNT('3. Finansinės prielaidos'!$C$27:$L$32)&lt;60),"",IF(COUNTIF(H39:Q39,"ATITINKA")=10,"ATITINKA","NEATITINKA"))</f>
        <v/>
      </c>
      <c r="D39" s="19" t="str">
        <f t="shared" ref="D39:D58" si="7">IF(C39="","",IF(C39&lt;&gt;"NEATITINKA","–",INDEX($H$37:$Q$37,1,MATCH("NEATITINKA",H39:Q39,0))))</f>
        <v/>
      </c>
      <c r="E39" s="19" t="str">
        <f>IF(C39="","",IF(C39&lt;&gt;"NEATITINKA","–",IF(INDEX('5A. Pagalbiniai skaičiavimai'!$C$45:$L$45,1,MATCH("NEATITINKA",H39:Q39,0))&lt;=0,"EBITDA ≤ 0",IF(AND(INDEX('5A. Pagalbiniai skaičiavimai'!$C$48:$L$48,1,MATCH("NEATITINKA",H39:Q39,0))&gt;$B$31,INDEX('5A. Pagalbiniai skaičiavimai'!$C$49:$L$49,1,MATCH("NEATITINKA",H39:Q39,0))&lt;$B$32),"Abu kriterijai",IF(INDEX('5A. Pagalbiniai skaičiavimai'!$C$48:$L$48,1,MATCH("NEATITINKA",H39:Q39,0))&gt;$B$31,"Net Debt / EBITDA &gt; 5,5","DSCR &lt; 1,2")))))</f>
        <v/>
      </c>
      <c r="F39" s="21" t="str">
        <f>IF(C39="","",MAX('5A. Pagalbiniai skaičiavimai'!C48:L48))</f>
        <v/>
      </c>
      <c r="G39" s="21" t="str">
        <f>IF(C39="","",MIN('5A. Pagalbiniai skaičiavimai'!C49:L49))</f>
        <v/>
      </c>
      <c r="H39" s="19" t="e">
        <f>IF(OR($B39="",'5A. Pagalbiniai skaičiavimai'!C45="",'5A. Pagalbiniai skaičiavimai'!C48="",'5A. Pagalbiniai skaičiavimai'!C49=""),"",IF(AND('5A. Pagalbiniai skaičiavimai'!C45&gt;0,'5A. Pagalbiniai skaičiavimai'!C48&lt;=$B$31,'5A. Pagalbiniai skaičiavimai'!C49&gt;=$B$32),"ATITINKA","NEATITINKA"))</f>
        <v>#VALUE!</v>
      </c>
      <c r="I39" s="19" t="e">
        <f>IF(OR($B39="",'5A. Pagalbiniai skaičiavimai'!D45="",'5A. Pagalbiniai skaičiavimai'!D48="",'5A. Pagalbiniai skaičiavimai'!D49=""),"",IF(AND('5A. Pagalbiniai skaičiavimai'!D45&gt;0,'5A. Pagalbiniai skaičiavimai'!D48&lt;=$B$31,'5A. Pagalbiniai skaičiavimai'!D49&gt;=$B$32),"ATITINKA","NEATITINKA"))</f>
        <v>#VALUE!</v>
      </c>
      <c r="J39" s="19" t="e">
        <f>IF(OR($B39="",'5A. Pagalbiniai skaičiavimai'!E45="",'5A. Pagalbiniai skaičiavimai'!E48="",'5A. Pagalbiniai skaičiavimai'!E49=""),"",IF(AND('5A. Pagalbiniai skaičiavimai'!E45&gt;0,'5A. Pagalbiniai skaičiavimai'!E48&lt;=$B$31,'5A. Pagalbiniai skaičiavimai'!E49&gt;=$B$32),"ATITINKA","NEATITINKA"))</f>
        <v>#VALUE!</v>
      </c>
      <c r="K39" s="19" t="e">
        <f>IF(OR($B39="",'5A. Pagalbiniai skaičiavimai'!F45="",'5A. Pagalbiniai skaičiavimai'!F48="",'5A. Pagalbiniai skaičiavimai'!F49=""),"",IF(AND('5A. Pagalbiniai skaičiavimai'!F45&gt;0,'5A. Pagalbiniai skaičiavimai'!F48&lt;=$B$31,'5A. Pagalbiniai skaičiavimai'!F49&gt;=$B$32),"ATITINKA","NEATITINKA"))</f>
        <v>#VALUE!</v>
      </c>
      <c r="L39" s="19" t="e">
        <f>IF(OR($B39="",'5A. Pagalbiniai skaičiavimai'!G45="",'5A. Pagalbiniai skaičiavimai'!G48="",'5A. Pagalbiniai skaičiavimai'!G49=""),"",IF(AND('5A. Pagalbiniai skaičiavimai'!G45&gt;0,'5A. Pagalbiniai skaičiavimai'!G48&lt;=$B$31,'5A. Pagalbiniai skaičiavimai'!G49&gt;=$B$32),"ATITINKA","NEATITINKA"))</f>
        <v>#VALUE!</v>
      </c>
      <c r="M39" s="19" t="e">
        <f>IF(OR($B39="",'5A. Pagalbiniai skaičiavimai'!H45="",'5A. Pagalbiniai skaičiavimai'!H48="",'5A. Pagalbiniai skaičiavimai'!H49=""),"",IF(AND('5A. Pagalbiniai skaičiavimai'!H45&gt;0,'5A. Pagalbiniai skaičiavimai'!H48&lt;=$B$31,'5A. Pagalbiniai skaičiavimai'!H49&gt;=$B$32),"ATITINKA","NEATITINKA"))</f>
        <v>#VALUE!</v>
      </c>
      <c r="N39" s="19" t="e">
        <f>IF(OR($B39="",'5A. Pagalbiniai skaičiavimai'!I45="",'5A. Pagalbiniai skaičiavimai'!I48="",'5A. Pagalbiniai skaičiavimai'!I49=""),"",IF(AND('5A. Pagalbiniai skaičiavimai'!I45&gt;0,'5A. Pagalbiniai skaičiavimai'!I48&lt;=$B$31,'5A. Pagalbiniai skaičiavimai'!I49&gt;=$B$32),"ATITINKA","NEATITINKA"))</f>
        <v>#VALUE!</v>
      </c>
      <c r="O39" s="19" t="e">
        <f>IF(OR($B39="",'5A. Pagalbiniai skaičiavimai'!J45="",'5A. Pagalbiniai skaičiavimai'!J48="",'5A. Pagalbiniai skaičiavimai'!J49=""),"",IF(AND('5A. Pagalbiniai skaičiavimai'!J45&gt;0,'5A. Pagalbiniai skaičiavimai'!J48&lt;=$B$31,'5A. Pagalbiniai skaičiavimai'!J49&gt;=$B$32),"ATITINKA","NEATITINKA"))</f>
        <v>#VALUE!</v>
      </c>
      <c r="P39" s="19" t="e">
        <f>IF(OR($B39="",'5A. Pagalbiniai skaičiavimai'!K45="",'5A. Pagalbiniai skaičiavimai'!K48="",'5A. Pagalbiniai skaičiavimai'!K49=""),"",IF(AND('5A. Pagalbiniai skaičiavimai'!K45&gt;0,'5A. Pagalbiniai skaičiavimai'!K48&lt;=$B$31,'5A. Pagalbiniai skaičiavimai'!K49&gt;=$B$32),"ATITINKA","NEATITINKA"))</f>
        <v>#VALUE!</v>
      </c>
      <c r="Q39" s="19" t="e">
        <f>IF(OR($B39="",'5A. Pagalbiniai skaičiavimai'!L45="",'5A. Pagalbiniai skaičiavimai'!L48="",'5A. Pagalbiniai skaičiavimai'!L49=""),"",IF(AND('5A. Pagalbiniai skaičiavimai'!L45&gt;0,'5A. Pagalbiniai skaičiavimai'!L48&lt;=$B$31,'5A. Pagalbiniai skaičiavimai'!L49&gt;=$B$32),"ATITINKA","NEATITINKA"))</f>
        <v>#VALUE!</v>
      </c>
      <c r="R39" s="2"/>
      <c r="S39" s="2"/>
      <c r="T39" s="2"/>
    </row>
    <row r="40" spans="1:20">
      <c r="A40" s="19">
        <v>2</v>
      </c>
      <c r="B40" s="19" t="str">
        <f>IF(AND(COUNTA('2. Investicijos'!$B$5:$B$6)=2,COUNT('2. Investicijos'!$E$5:$E$6)=2,COUNT('2. Investicijos'!$F$5:$F$6)=2,COUNT('2. Investicijos'!$G$5:$G$6)=2,COUNT('2. Investicijos'!$H$5:$H$6)=2),'2. Investicijos'!B6,"")</f>
        <v/>
      </c>
      <c r="C40" s="19" t="str">
        <f>IF(OR(B40="",COUNT('3. Finansinės prielaidos'!$C$27:$L$32)&lt;60),"",IF(COUNTIF(H40:Q40,"ATITINKA")=10,"ATITINKA","NEATITINKA"))</f>
        <v/>
      </c>
      <c r="D40" s="19" t="str">
        <f t="shared" si="7"/>
        <v/>
      </c>
      <c r="E40" s="19" t="str">
        <f>IF(C40="","",IF(C40&lt;&gt;"NEATITINKA","–",IF(INDEX('5A. Pagalbiniai skaičiavimai'!$C$55:$L$55,1,MATCH("NEATITINKA",H40:Q40,0))&lt;=0,"EBITDA ≤ 0",IF(AND(INDEX('5A. Pagalbiniai skaičiavimai'!$C$58:$L$58,1,MATCH("NEATITINKA",H40:Q40,0))&gt;$B$31,INDEX('5A. Pagalbiniai skaičiavimai'!$C$59:$L$59,1,MATCH("NEATITINKA",H40:Q40,0))&lt;$B$32),"Abu kriterijai",IF(INDEX('5A. Pagalbiniai skaičiavimai'!$C$58:$L$58,1,MATCH("NEATITINKA",H40:Q40,0))&gt;$B$31,"Net Debt / EBITDA &gt; 5,5","DSCR &lt; 1,2")))))</f>
        <v/>
      </c>
      <c r="F40" s="21" t="str">
        <f>IF(C40="","",MAX('5A. Pagalbiniai skaičiavimai'!C58:L58))</f>
        <v/>
      </c>
      <c r="G40" s="21" t="str">
        <f>IF(C40="","",MIN('5A. Pagalbiniai skaičiavimai'!C59:L59))</f>
        <v/>
      </c>
      <c r="H40" s="19" t="e">
        <f>IF(OR($B40="",'5A. Pagalbiniai skaičiavimai'!C55="",'5A. Pagalbiniai skaičiavimai'!C58="",'5A. Pagalbiniai skaičiavimai'!C59=""),"",IF(AND('5A. Pagalbiniai skaičiavimai'!C55&gt;0,'5A. Pagalbiniai skaičiavimai'!C58&lt;=$B$31,'5A. Pagalbiniai skaičiavimai'!C59&gt;=$B$32),"ATITINKA","NEATITINKA"))</f>
        <v>#VALUE!</v>
      </c>
      <c r="I40" s="19" t="e">
        <f>IF(OR($B40="",'5A. Pagalbiniai skaičiavimai'!D55="",'5A. Pagalbiniai skaičiavimai'!D58="",'5A. Pagalbiniai skaičiavimai'!D59=""),"",IF(AND('5A. Pagalbiniai skaičiavimai'!D55&gt;0,'5A. Pagalbiniai skaičiavimai'!D58&lt;=$B$31,'5A. Pagalbiniai skaičiavimai'!D59&gt;=$B$32),"ATITINKA","NEATITINKA"))</f>
        <v>#VALUE!</v>
      </c>
      <c r="J40" s="19" t="e">
        <f>IF(OR($B40="",'5A. Pagalbiniai skaičiavimai'!E55="",'5A. Pagalbiniai skaičiavimai'!E58="",'5A. Pagalbiniai skaičiavimai'!E59=""),"",IF(AND('5A. Pagalbiniai skaičiavimai'!E55&gt;0,'5A. Pagalbiniai skaičiavimai'!E58&lt;=$B$31,'5A. Pagalbiniai skaičiavimai'!E59&gt;=$B$32),"ATITINKA","NEATITINKA"))</f>
        <v>#VALUE!</v>
      </c>
      <c r="K40" s="19" t="e">
        <f>IF(OR($B40="",'5A. Pagalbiniai skaičiavimai'!F55="",'5A. Pagalbiniai skaičiavimai'!F58="",'5A. Pagalbiniai skaičiavimai'!F59=""),"",IF(AND('5A. Pagalbiniai skaičiavimai'!F55&gt;0,'5A. Pagalbiniai skaičiavimai'!F58&lt;=$B$31,'5A. Pagalbiniai skaičiavimai'!F59&gt;=$B$32),"ATITINKA","NEATITINKA"))</f>
        <v>#VALUE!</v>
      </c>
      <c r="L40" s="19" t="e">
        <f>IF(OR($B40="",'5A. Pagalbiniai skaičiavimai'!G55="",'5A. Pagalbiniai skaičiavimai'!G58="",'5A. Pagalbiniai skaičiavimai'!G59=""),"",IF(AND('5A. Pagalbiniai skaičiavimai'!G55&gt;0,'5A. Pagalbiniai skaičiavimai'!G58&lt;=$B$31,'5A. Pagalbiniai skaičiavimai'!G59&gt;=$B$32),"ATITINKA","NEATITINKA"))</f>
        <v>#VALUE!</v>
      </c>
      <c r="M40" s="19" t="e">
        <f>IF(OR($B40="",'5A. Pagalbiniai skaičiavimai'!H55="",'5A. Pagalbiniai skaičiavimai'!H58="",'5A. Pagalbiniai skaičiavimai'!H59=""),"",IF(AND('5A. Pagalbiniai skaičiavimai'!H55&gt;0,'5A. Pagalbiniai skaičiavimai'!H58&lt;=$B$31,'5A. Pagalbiniai skaičiavimai'!H59&gt;=$B$32),"ATITINKA","NEATITINKA"))</f>
        <v>#VALUE!</v>
      </c>
      <c r="N40" s="19" t="e">
        <f>IF(OR($B40="",'5A. Pagalbiniai skaičiavimai'!I55="",'5A. Pagalbiniai skaičiavimai'!I58="",'5A. Pagalbiniai skaičiavimai'!I59=""),"",IF(AND('5A. Pagalbiniai skaičiavimai'!I55&gt;0,'5A. Pagalbiniai skaičiavimai'!I58&lt;=$B$31,'5A. Pagalbiniai skaičiavimai'!I59&gt;=$B$32),"ATITINKA","NEATITINKA"))</f>
        <v>#VALUE!</v>
      </c>
      <c r="O40" s="19" t="e">
        <f>IF(OR($B40="",'5A. Pagalbiniai skaičiavimai'!J55="",'5A. Pagalbiniai skaičiavimai'!J58="",'5A. Pagalbiniai skaičiavimai'!J59=""),"",IF(AND('5A. Pagalbiniai skaičiavimai'!J55&gt;0,'5A. Pagalbiniai skaičiavimai'!J58&lt;=$B$31,'5A. Pagalbiniai skaičiavimai'!J59&gt;=$B$32),"ATITINKA","NEATITINKA"))</f>
        <v>#VALUE!</v>
      </c>
      <c r="P40" s="19" t="e">
        <f>IF(OR($B40="",'5A. Pagalbiniai skaičiavimai'!K55="",'5A. Pagalbiniai skaičiavimai'!K58="",'5A. Pagalbiniai skaičiavimai'!K59=""),"",IF(AND('5A. Pagalbiniai skaičiavimai'!K55&gt;0,'5A. Pagalbiniai skaičiavimai'!K58&lt;=$B$31,'5A. Pagalbiniai skaičiavimai'!K59&gt;=$B$32),"ATITINKA","NEATITINKA"))</f>
        <v>#VALUE!</v>
      </c>
      <c r="Q40" s="19" t="e">
        <f>IF(OR($B40="",'5A. Pagalbiniai skaičiavimai'!L55="",'5A. Pagalbiniai skaičiavimai'!L58="",'5A. Pagalbiniai skaičiavimai'!L59=""),"",IF(AND('5A. Pagalbiniai skaičiavimai'!L55&gt;0,'5A. Pagalbiniai skaičiavimai'!L58&lt;=$B$31,'5A. Pagalbiniai skaičiavimai'!L59&gt;=$B$32),"ATITINKA","NEATITINKA"))</f>
        <v>#VALUE!</v>
      </c>
      <c r="R40" s="2"/>
      <c r="S40" s="2"/>
      <c r="T40" s="2"/>
    </row>
    <row r="41" spans="1:20">
      <c r="A41" s="19">
        <v>3</v>
      </c>
      <c r="B41" s="19" t="str">
        <f>IF(AND(COUNTA('2. Investicijos'!$B$5:$B$7)=3,COUNT('2. Investicijos'!$E$5:$E$7)=3,COUNT('2. Investicijos'!$F$5:$F$7)=3,COUNT('2. Investicijos'!$G$5:$G$7)=3,COUNT('2. Investicijos'!$H$5:$H$7)=3),'2. Investicijos'!B7,"")</f>
        <v/>
      </c>
      <c r="C41" s="19" t="str">
        <f>IF(OR(B41="",COUNT('3. Finansinės prielaidos'!$C$27:$L$32)&lt;60),"",IF(COUNTIF(H41:Q41,"ATITINKA")=10,"ATITINKA","NEATITINKA"))</f>
        <v/>
      </c>
      <c r="D41" s="19" t="str">
        <f t="shared" si="7"/>
        <v/>
      </c>
      <c r="E41" s="19" t="str">
        <f>IF(C41="","",IF(C41&lt;&gt;"NEATITINKA","–",IF(INDEX('5A. Pagalbiniai skaičiavimai'!$C$65:$L$65,1,MATCH("NEATITINKA",H41:Q41,0))&lt;=0,"EBITDA ≤ 0",IF(AND(INDEX('5A. Pagalbiniai skaičiavimai'!$C$68:$L$68,1,MATCH("NEATITINKA",H41:Q41,0))&gt;$B$31,INDEX('5A. Pagalbiniai skaičiavimai'!$C$69:$L$69,1,MATCH("NEATITINKA",H41:Q41,0))&lt;$B$32),"Abu kriterijai",IF(INDEX('5A. Pagalbiniai skaičiavimai'!$C$68:$L$68,1,MATCH("NEATITINKA",H41:Q41,0))&gt;$B$31,"Net Debt / EBITDA &gt; 5,5","DSCR &lt; 1,2")))))</f>
        <v/>
      </c>
      <c r="F41" s="21" t="str">
        <f>IF(C41="","",MAX('5A. Pagalbiniai skaičiavimai'!C68:L68))</f>
        <v/>
      </c>
      <c r="G41" s="21" t="str">
        <f>IF(C41="","",MIN('5A. Pagalbiniai skaičiavimai'!C69:L69))</f>
        <v/>
      </c>
      <c r="H41" s="19" t="e">
        <f>IF(OR($B41="",'5A. Pagalbiniai skaičiavimai'!C65="",'5A. Pagalbiniai skaičiavimai'!C68="",'5A. Pagalbiniai skaičiavimai'!C69=""),"",IF(AND('5A. Pagalbiniai skaičiavimai'!C65&gt;0,'5A. Pagalbiniai skaičiavimai'!C68&lt;=$B$31,'5A. Pagalbiniai skaičiavimai'!C69&gt;=$B$32),"ATITINKA","NEATITINKA"))</f>
        <v>#VALUE!</v>
      </c>
      <c r="I41" s="19" t="e">
        <f>IF(OR($B41="",'5A. Pagalbiniai skaičiavimai'!D65="",'5A. Pagalbiniai skaičiavimai'!D68="",'5A. Pagalbiniai skaičiavimai'!D69=""),"",IF(AND('5A. Pagalbiniai skaičiavimai'!D65&gt;0,'5A. Pagalbiniai skaičiavimai'!D68&lt;=$B$31,'5A. Pagalbiniai skaičiavimai'!D69&gt;=$B$32),"ATITINKA","NEATITINKA"))</f>
        <v>#VALUE!</v>
      </c>
      <c r="J41" s="19" t="e">
        <f>IF(OR($B41="",'5A. Pagalbiniai skaičiavimai'!E65="",'5A. Pagalbiniai skaičiavimai'!E68="",'5A. Pagalbiniai skaičiavimai'!E69=""),"",IF(AND('5A. Pagalbiniai skaičiavimai'!E65&gt;0,'5A. Pagalbiniai skaičiavimai'!E68&lt;=$B$31,'5A. Pagalbiniai skaičiavimai'!E69&gt;=$B$32),"ATITINKA","NEATITINKA"))</f>
        <v>#VALUE!</v>
      </c>
      <c r="K41" s="19" t="e">
        <f>IF(OR($B41="",'5A. Pagalbiniai skaičiavimai'!F65="",'5A. Pagalbiniai skaičiavimai'!F68="",'5A. Pagalbiniai skaičiavimai'!F69=""),"",IF(AND('5A. Pagalbiniai skaičiavimai'!F65&gt;0,'5A. Pagalbiniai skaičiavimai'!F68&lt;=$B$31,'5A. Pagalbiniai skaičiavimai'!F69&gt;=$B$32),"ATITINKA","NEATITINKA"))</f>
        <v>#VALUE!</v>
      </c>
      <c r="L41" s="19" t="e">
        <f>IF(OR($B41="",'5A. Pagalbiniai skaičiavimai'!G65="",'5A. Pagalbiniai skaičiavimai'!G68="",'5A. Pagalbiniai skaičiavimai'!G69=""),"",IF(AND('5A. Pagalbiniai skaičiavimai'!G65&gt;0,'5A. Pagalbiniai skaičiavimai'!G68&lt;=$B$31,'5A. Pagalbiniai skaičiavimai'!G69&gt;=$B$32),"ATITINKA","NEATITINKA"))</f>
        <v>#VALUE!</v>
      </c>
      <c r="M41" s="19" t="e">
        <f>IF(OR($B41="",'5A. Pagalbiniai skaičiavimai'!H65="",'5A. Pagalbiniai skaičiavimai'!H68="",'5A. Pagalbiniai skaičiavimai'!H69=""),"",IF(AND('5A. Pagalbiniai skaičiavimai'!H65&gt;0,'5A. Pagalbiniai skaičiavimai'!H68&lt;=$B$31,'5A. Pagalbiniai skaičiavimai'!H69&gt;=$B$32),"ATITINKA","NEATITINKA"))</f>
        <v>#VALUE!</v>
      </c>
      <c r="N41" s="19" t="e">
        <f>IF(OR($B41="",'5A. Pagalbiniai skaičiavimai'!I65="",'5A. Pagalbiniai skaičiavimai'!I68="",'5A. Pagalbiniai skaičiavimai'!I69=""),"",IF(AND('5A. Pagalbiniai skaičiavimai'!I65&gt;0,'5A. Pagalbiniai skaičiavimai'!I68&lt;=$B$31,'5A. Pagalbiniai skaičiavimai'!I69&gt;=$B$32),"ATITINKA","NEATITINKA"))</f>
        <v>#VALUE!</v>
      </c>
      <c r="O41" s="19" t="e">
        <f>IF(OR($B41="",'5A. Pagalbiniai skaičiavimai'!J65="",'5A. Pagalbiniai skaičiavimai'!J68="",'5A. Pagalbiniai skaičiavimai'!J69=""),"",IF(AND('5A. Pagalbiniai skaičiavimai'!J65&gt;0,'5A. Pagalbiniai skaičiavimai'!J68&lt;=$B$31,'5A. Pagalbiniai skaičiavimai'!J69&gt;=$B$32),"ATITINKA","NEATITINKA"))</f>
        <v>#VALUE!</v>
      </c>
      <c r="P41" s="19" t="e">
        <f>IF(OR($B41="",'5A. Pagalbiniai skaičiavimai'!K65="",'5A. Pagalbiniai skaičiavimai'!K68="",'5A. Pagalbiniai skaičiavimai'!K69=""),"",IF(AND('5A. Pagalbiniai skaičiavimai'!K65&gt;0,'5A. Pagalbiniai skaičiavimai'!K68&lt;=$B$31,'5A. Pagalbiniai skaičiavimai'!K69&gt;=$B$32),"ATITINKA","NEATITINKA"))</f>
        <v>#VALUE!</v>
      </c>
      <c r="Q41" s="19" t="e">
        <f>IF(OR($B41="",'5A. Pagalbiniai skaičiavimai'!L65="",'5A. Pagalbiniai skaičiavimai'!L68="",'5A. Pagalbiniai skaičiavimai'!L69=""),"",IF(AND('5A. Pagalbiniai skaičiavimai'!L65&gt;0,'5A. Pagalbiniai skaičiavimai'!L68&lt;=$B$31,'5A. Pagalbiniai skaičiavimai'!L69&gt;=$B$32),"ATITINKA","NEATITINKA"))</f>
        <v>#VALUE!</v>
      </c>
      <c r="R41" s="2"/>
      <c r="S41" s="2"/>
      <c r="T41" s="2"/>
    </row>
    <row r="42" spans="1:20">
      <c r="A42" s="19">
        <v>4</v>
      </c>
      <c r="B42" s="19" t="str">
        <f>IF(AND(COUNTA('2. Investicijos'!$B$5:$B$8)=4,COUNT('2. Investicijos'!$E$5:$E$8)=4,COUNT('2. Investicijos'!$F$5:$F$8)=4,COUNT('2. Investicijos'!$G$5:$G$8)=4,COUNT('2. Investicijos'!$H$5:$H$8)=4),'2. Investicijos'!B8,"")</f>
        <v/>
      </c>
      <c r="C42" s="19" t="str">
        <f>IF(OR(B42="",COUNT('3. Finansinės prielaidos'!$C$27:$L$32)&lt;60),"",IF(COUNTIF(H42:Q42,"ATITINKA")=10,"ATITINKA","NEATITINKA"))</f>
        <v/>
      </c>
      <c r="D42" s="19" t="str">
        <f t="shared" si="7"/>
        <v/>
      </c>
      <c r="E42" s="19" t="str">
        <f>IF(C42="","",IF(C42&lt;&gt;"NEATITINKA","–",IF(INDEX('5A. Pagalbiniai skaičiavimai'!$C$75:$L$75,1,MATCH("NEATITINKA",H42:Q42,0))&lt;=0,"EBITDA ≤ 0",IF(AND(INDEX('5A. Pagalbiniai skaičiavimai'!$C$78:$L$78,1,MATCH("NEATITINKA",H42:Q42,0))&gt;$B$31,INDEX('5A. Pagalbiniai skaičiavimai'!$C$79:$L$79,1,MATCH("NEATITINKA",H42:Q42,0))&lt;$B$32),"Abu kriterijai",IF(INDEX('5A. Pagalbiniai skaičiavimai'!$C$78:$L$78,1,MATCH("NEATITINKA",H42:Q42,0))&gt;$B$31,"Net Debt / EBITDA &gt; 5,5","DSCR &lt; 1,2")))))</f>
        <v/>
      </c>
      <c r="F42" s="21" t="str">
        <f>IF(C42="","",MAX('5A. Pagalbiniai skaičiavimai'!C78:L78))</f>
        <v/>
      </c>
      <c r="G42" s="21" t="str">
        <f>IF(C42="","",MIN('5A. Pagalbiniai skaičiavimai'!C79:L79))</f>
        <v/>
      </c>
      <c r="H42" s="19" t="e">
        <f>IF(OR($B42="",'5A. Pagalbiniai skaičiavimai'!C75="",'5A. Pagalbiniai skaičiavimai'!C78="",'5A. Pagalbiniai skaičiavimai'!C79=""),"",IF(AND('5A. Pagalbiniai skaičiavimai'!C75&gt;0,'5A. Pagalbiniai skaičiavimai'!C78&lt;=$B$31,'5A. Pagalbiniai skaičiavimai'!C79&gt;=$B$32),"ATITINKA","NEATITINKA"))</f>
        <v>#VALUE!</v>
      </c>
      <c r="I42" s="19" t="e">
        <f>IF(OR($B42="",'5A. Pagalbiniai skaičiavimai'!D75="",'5A. Pagalbiniai skaičiavimai'!D78="",'5A. Pagalbiniai skaičiavimai'!D79=""),"",IF(AND('5A. Pagalbiniai skaičiavimai'!D75&gt;0,'5A. Pagalbiniai skaičiavimai'!D78&lt;=$B$31,'5A. Pagalbiniai skaičiavimai'!D79&gt;=$B$32),"ATITINKA","NEATITINKA"))</f>
        <v>#VALUE!</v>
      </c>
      <c r="J42" s="19" t="e">
        <f>IF(OR($B42="",'5A. Pagalbiniai skaičiavimai'!E75="",'5A. Pagalbiniai skaičiavimai'!E78="",'5A. Pagalbiniai skaičiavimai'!E79=""),"",IF(AND('5A. Pagalbiniai skaičiavimai'!E75&gt;0,'5A. Pagalbiniai skaičiavimai'!E78&lt;=$B$31,'5A. Pagalbiniai skaičiavimai'!E79&gt;=$B$32),"ATITINKA","NEATITINKA"))</f>
        <v>#VALUE!</v>
      </c>
      <c r="K42" s="19" t="e">
        <f>IF(OR($B42="",'5A. Pagalbiniai skaičiavimai'!F75="",'5A. Pagalbiniai skaičiavimai'!F78="",'5A. Pagalbiniai skaičiavimai'!F79=""),"",IF(AND('5A. Pagalbiniai skaičiavimai'!F75&gt;0,'5A. Pagalbiniai skaičiavimai'!F78&lt;=$B$31,'5A. Pagalbiniai skaičiavimai'!F79&gt;=$B$32),"ATITINKA","NEATITINKA"))</f>
        <v>#VALUE!</v>
      </c>
      <c r="L42" s="19" t="e">
        <f>IF(OR($B42="",'5A. Pagalbiniai skaičiavimai'!G75="",'5A. Pagalbiniai skaičiavimai'!G78="",'5A. Pagalbiniai skaičiavimai'!G79=""),"",IF(AND('5A. Pagalbiniai skaičiavimai'!G75&gt;0,'5A. Pagalbiniai skaičiavimai'!G78&lt;=$B$31,'5A. Pagalbiniai skaičiavimai'!G79&gt;=$B$32),"ATITINKA","NEATITINKA"))</f>
        <v>#VALUE!</v>
      </c>
      <c r="M42" s="19" t="e">
        <f>IF(OR($B42="",'5A. Pagalbiniai skaičiavimai'!H75="",'5A. Pagalbiniai skaičiavimai'!H78="",'5A. Pagalbiniai skaičiavimai'!H79=""),"",IF(AND('5A. Pagalbiniai skaičiavimai'!H75&gt;0,'5A. Pagalbiniai skaičiavimai'!H78&lt;=$B$31,'5A. Pagalbiniai skaičiavimai'!H79&gt;=$B$32),"ATITINKA","NEATITINKA"))</f>
        <v>#VALUE!</v>
      </c>
      <c r="N42" s="19" t="e">
        <f>IF(OR($B42="",'5A. Pagalbiniai skaičiavimai'!I75="",'5A. Pagalbiniai skaičiavimai'!I78="",'5A. Pagalbiniai skaičiavimai'!I79=""),"",IF(AND('5A. Pagalbiniai skaičiavimai'!I75&gt;0,'5A. Pagalbiniai skaičiavimai'!I78&lt;=$B$31,'5A. Pagalbiniai skaičiavimai'!I79&gt;=$B$32),"ATITINKA","NEATITINKA"))</f>
        <v>#VALUE!</v>
      </c>
      <c r="O42" s="19" t="e">
        <f>IF(OR($B42="",'5A. Pagalbiniai skaičiavimai'!J75="",'5A. Pagalbiniai skaičiavimai'!J78="",'5A. Pagalbiniai skaičiavimai'!J79=""),"",IF(AND('5A. Pagalbiniai skaičiavimai'!J75&gt;0,'5A. Pagalbiniai skaičiavimai'!J78&lt;=$B$31,'5A. Pagalbiniai skaičiavimai'!J79&gt;=$B$32),"ATITINKA","NEATITINKA"))</f>
        <v>#VALUE!</v>
      </c>
      <c r="P42" s="19" t="e">
        <f>IF(OR($B42="",'5A. Pagalbiniai skaičiavimai'!K75="",'5A. Pagalbiniai skaičiavimai'!K78="",'5A. Pagalbiniai skaičiavimai'!K79=""),"",IF(AND('5A. Pagalbiniai skaičiavimai'!K75&gt;0,'5A. Pagalbiniai skaičiavimai'!K78&lt;=$B$31,'5A. Pagalbiniai skaičiavimai'!K79&gt;=$B$32),"ATITINKA","NEATITINKA"))</f>
        <v>#VALUE!</v>
      </c>
      <c r="Q42" s="19" t="e">
        <f>IF(OR($B42="",'5A. Pagalbiniai skaičiavimai'!L75="",'5A. Pagalbiniai skaičiavimai'!L78="",'5A. Pagalbiniai skaičiavimai'!L79=""),"",IF(AND('5A. Pagalbiniai skaičiavimai'!L75&gt;0,'5A. Pagalbiniai skaičiavimai'!L78&lt;=$B$31,'5A. Pagalbiniai skaičiavimai'!L79&gt;=$B$32),"ATITINKA","NEATITINKA"))</f>
        <v>#VALUE!</v>
      </c>
      <c r="R42" s="2"/>
      <c r="S42" s="2"/>
      <c r="T42" s="2"/>
    </row>
    <row r="43" spans="1:20">
      <c r="A43" s="19">
        <v>5</v>
      </c>
      <c r="B43" s="19" t="str">
        <f>IF(AND(COUNTA('2. Investicijos'!$B$5:$B$9)=5,COUNT('2. Investicijos'!$E$5:$E$9)=5,COUNT('2. Investicijos'!$F$5:$F$9)=5,COUNT('2. Investicijos'!$G$5:$G$9)=5,COUNT('2. Investicijos'!$H$5:$H$9)=5),'2. Investicijos'!B9,"")</f>
        <v/>
      </c>
      <c r="C43" s="19" t="str">
        <f>IF(OR(B43="",COUNT('3. Finansinės prielaidos'!$C$27:$L$32)&lt;60),"",IF(COUNTIF(H43:Q43,"ATITINKA")=10,"ATITINKA","NEATITINKA"))</f>
        <v/>
      </c>
      <c r="D43" s="19" t="str">
        <f t="shared" si="7"/>
        <v/>
      </c>
      <c r="E43" s="19" t="str">
        <f>IF(C43="","",IF(C43&lt;&gt;"NEATITINKA","–",IF(INDEX('5A. Pagalbiniai skaičiavimai'!$C$85:$L$85,1,MATCH("NEATITINKA",H43:Q43,0))&lt;=0,"EBITDA ≤ 0",IF(AND(INDEX('5A. Pagalbiniai skaičiavimai'!$C$88:$L$88,1,MATCH("NEATITINKA",H43:Q43,0))&gt;$B$31,INDEX('5A. Pagalbiniai skaičiavimai'!$C$89:$L$89,1,MATCH("NEATITINKA",H43:Q43,0))&lt;$B$32),"Abu kriterijai",IF(INDEX('5A. Pagalbiniai skaičiavimai'!$C$88:$L$88,1,MATCH("NEATITINKA",H43:Q43,0))&gt;$B$31,"Net Debt / EBITDA &gt; 5,5","DSCR &lt; 1,2")))))</f>
        <v/>
      </c>
      <c r="F43" s="21" t="str">
        <f>IF(C43="","",MAX('5A. Pagalbiniai skaičiavimai'!C88:L88))</f>
        <v/>
      </c>
      <c r="G43" s="21" t="str">
        <f>IF(C43="","",MIN('5A. Pagalbiniai skaičiavimai'!C89:L89))</f>
        <v/>
      </c>
      <c r="H43" s="19" t="e">
        <f>IF(OR($B43="",'5A. Pagalbiniai skaičiavimai'!C85="",'5A. Pagalbiniai skaičiavimai'!C88="",'5A. Pagalbiniai skaičiavimai'!C89=""),"",IF(AND('5A. Pagalbiniai skaičiavimai'!C85&gt;0,'5A. Pagalbiniai skaičiavimai'!C88&lt;=$B$31,'5A. Pagalbiniai skaičiavimai'!C89&gt;=$B$32),"ATITINKA","NEATITINKA"))</f>
        <v>#VALUE!</v>
      </c>
      <c r="I43" s="19" t="e">
        <f>IF(OR($B43="",'5A. Pagalbiniai skaičiavimai'!D85="",'5A. Pagalbiniai skaičiavimai'!D88="",'5A. Pagalbiniai skaičiavimai'!D89=""),"",IF(AND('5A. Pagalbiniai skaičiavimai'!D85&gt;0,'5A. Pagalbiniai skaičiavimai'!D88&lt;=$B$31,'5A. Pagalbiniai skaičiavimai'!D89&gt;=$B$32),"ATITINKA","NEATITINKA"))</f>
        <v>#VALUE!</v>
      </c>
      <c r="J43" s="19" t="e">
        <f>IF(OR($B43="",'5A. Pagalbiniai skaičiavimai'!E85="",'5A. Pagalbiniai skaičiavimai'!E88="",'5A. Pagalbiniai skaičiavimai'!E89=""),"",IF(AND('5A. Pagalbiniai skaičiavimai'!E85&gt;0,'5A. Pagalbiniai skaičiavimai'!E88&lt;=$B$31,'5A. Pagalbiniai skaičiavimai'!E89&gt;=$B$32),"ATITINKA","NEATITINKA"))</f>
        <v>#VALUE!</v>
      </c>
      <c r="K43" s="19" t="e">
        <f>IF(OR($B43="",'5A. Pagalbiniai skaičiavimai'!F85="",'5A. Pagalbiniai skaičiavimai'!F88="",'5A. Pagalbiniai skaičiavimai'!F89=""),"",IF(AND('5A. Pagalbiniai skaičiavimai'!F85&gt;0,'5A. Pagalbiniai skaičiavimai'!F88&lt;=$B$31,'5A. Pagalbiniai skaičiavimai'!F89&gt;=$B$32),"ATITINKA","NEATITINKA"))</f>
        <v>#VALUE!</v>
      </c>
      <c r="L43" s="19" t="e">
        <f>IF(OR($B43="",'5A. Pagalbiniai skaičiavimai'!G85="",'5A. Pagalbiniai skaičiavimai'!G88="",'5A. Pagalbiniai skaičiavimai'!G89=""),"",IF(AND('5A. Pagalbiniai skaičiavimai'!G85&gt;0,'5A. Pagalbiniai skaičiavimai'!G88&lt;=$B$31,'5A. Pagalbiniai skaičiavimai'!G89&gt;=$B$32),"ATITINKA","NEATITINKA"))</f>
        <v>#VALUE!</v>
      </c>
      <c r="M43" s="19" t="e">
        <f>IF(OR($B43="",'5A. Pagalbiniai skaičiavimai'!H85="",'5A. Pagalbiniai skaičiavimai'!H88="",'5A. Pagalbiniai skaičiavimai'!H89=""),"",IF(AND('5A. Pagalbiniai skaičiavimai'!H85&gt;0,'5A. Pagalbiniai skaičiavimai'!H88&lt;=$B$31,'5A. Pagalbiniai skaičiavimai'!H89&gt;=$B$32),"ATITINKA","NEATITINKA"))</f>
        <v>#VALUE!</v>
      </c>
      <c r="N43" s="19" t="e">
        <f>IF(OR($B43="",'5A. Pagalbiniai skaičiavimai'!I85="",'5A. Pagalbiniai skaičiavimai'!I88="",'5A. Pagalbiniai skaičiavimai'!I89=""),"",IF(AND('5A. Pagalbiniai skaičiavimai'!I85&gt;0,'5A. Pagalbiniai skaičiavimai'!I88&lt;=$B$31,'5A. Pagalbiniai skaičiavimai'!I89&gt;=$B$32),"ATITINKA","NEATITINKA"))</f>
        <v>#VALUE!</v>
      </c>
      <c r="O43" s="19" t="e">
        <f>IF(OR($B43="",'5A. Pagalbiniai skaičiavimai'!J85="",'5A. Pagalbiniai skaičiavimai'!J88="",'5A. Pagalbiniai skaičiavimai'!J89=""),"",IF(AND('5A. Pagalbiniai skaičiavimai'!J85&gt;0,'5A. Pagalbiniai skaičiavimai'!J88&lt;=$B$31,'5A. Pagalbiniai skaičiavimai'!J89&gt;=$B$32),"ATITINKA","NEATITINKA"))</f>
        <v>#VALUE!</v>
      </c>
      <c r="P43" s="19" t="e">
        <f>IF(OR($B43="",'5A. Pagalbiniai skaičiavimai'!K85="",'5A. Pagalbiniai skaičiavimai'!K88="",'5A. Pagalbiniai skaičiavimai'!K89=""),"",IF(AND('5A. Pagalbiniai skaičiavimai'!K85&gt;0,'5A. Pagalbiniai skaičiavimai'!K88&lt;=$B$31,'5A. Pagalbiniai skaičiavimai'!K89&gt;=$B$32),"ATITINKA","NEATITINKA"))</f>
        <v>#VALUE!</v>
      </c>
      <c r="Q43" s="19" t="e">
        <f>IF(OR($B43="",'5A. Pagalbiniai skaičiavimai'!L85="",'5A. Pagalbiniai skaičiavimai'!L88="",'5A. Pagalbiniai skaičiavimai'!L89=""),"",IF(AND('5A. Pagalbiniai skaičiavimai'!L85&gt;0,'5A. Pagalbiniai skaičiavimai'!L88&lt;=$B$31,'5A. Pagalbiniai skaičiavimai'!L89&gt;=$B$32),"ATITINKA","NEATITINKA"))</f>
        <v>#VALUE!</v>
      </c>
      <c r="R43" s="2"/>
      <c r="S43" s="2"/>
      <c r="T43" s="2"/>
    </row>
    <row r="44" spans="1:20">
      <c r="A44" s="19">
        <v>6</v>
      </c>
      <c r="B44" s="19" t="str">
        <f>IF(AND(COUNTA('2. Investicijos'!$B$5:$B$10)=6,COUNT('2. Investicijos'!$E$5:$E$10)=6,COUNT('2. Investicijos'!$F$5:$F$10)=6,COUNT('2. Investicijos'!$G$5:$G$10)=6,COUNT('2. Investicijos'!$H$5:$H$10)=6),'2. Investicijos'!B10,"")</f>
        <v/>
      </c>
      <c r="C44" s="19" t="str">
        <f>IF(OR(B44="",COUNT('3. Finansinės prielaidos'!$C$27:$L$32)&lt;60),"",IF(COUNTIF(H44:Q44,"ATITINKA")=10,"ATITINKA","NEATITINKA"))</f>
        <v/>
      </c>
      <c r="D44" s="19" t="str">
        <f t="shared" si="7"/>
        <v/>
      </c>
      <c r="E44" s="19" t="str">
        <f>IF(C44="","",IF(C44&lt;&gt;"NEATITINKA","–",IF(INDEX('5A. Pagalbiniai skaičiavimai'!$C$95:$L$95,1,MATCH("NEATITINKA",H44:Q44,0))&lt;=0,"EBITDA ≤ 0",IF(AND(INDEX('5A. Pagalbiniai skaičiavimai'!$C$98:$L$98,1,MATCH("NEATITINKA",H44:Q44,0))&gt;$B$31,INDEX('5A. Pagalbiniai skaičiavimai'!$C$99:$L$99,1,MATCH("NEATITINKA",H44:Q44,0))&lt;$B$32),"Abu kriterijai",IF(INDEX('5A. Pagalbiniai skaičiavimai'!$C$98:$L$98,1,MATCH("NEATITINKA",H44:Q44,0))&gt;$B$31,"Net Debt / EBITDA &gt; 5,5","DSCR &lt; 1,2")))))</f>
        <v/>
      </c>
      <c r="F44" s="21" t="str">
        <f>IF(C44="","",MAX('5A. Pagalbiniai skaičiavimai'!C98:L98))</f>
        <v/>
      </c>
      <c r="G44" s="21" t="str">
        <f>IF(C44="","",MIN('5A. Pagalbiniai skaičiavimai'!C99:L99))</f>
        <v/>
      </c>
      <c r="H44" s="19" t="e">
        <f>IF(OR($B44="",'5A. Pagalbiniai skaičiavimai'!C95="",'5A. Pagalbiniai skaičiavimai'!C98="",'5A. Pagalbiniai skaičiavimai'!C99=""),"",IF(AND('5A. Pagalbiniai skaičiavimai'!C95&gt;0,'5A. Pagalbiniai skaičiavimai'!C98&lt;=$B$31,'5A. Pagalbiniai skaičiavimai'!C99&gt;=$B$32),"ATITINKA","NEATITINKA"))</f>
        <v>#VALUE!</v>
      </c>
      <c r="I44" s="19" t="e">
        <f>IF(OR($B44="",'5A. Pagalbiniai skaičiavimai'!D95="",'5A. Pagalbiniai skaičiavimai'!D98="",'5A. Pagalbiniai skaičiavimai'!D99=""),"",IF(AND('5A. Pagalbiniai skaičiavimai'!D95&gt;0,'5A. Pagalbiniai skaičiavimai'!D98&lt;=$B$31,'5A. Pagalbiniai skaičiavimai'!D99&gt;=$B$32),"ATITINKA","NEATITINKA"))</f>
        <v>#VALUE!</v>
      </c>
      <c r="J44" s="19" t="e">
        <f>IF(OR($B44="",'5A. Pagalbiniai skaičiavimai'!E95="",'5A. Pagalbiniai skaičiavimai'!E98="",'5A. Pagalbiniai skaičiavimai'!E99=""),"",IF(AND('5A. Pagalbiniai skaičiavimai'!E95&gt;0,'5A. Pagalbiniai skaičiavimai'!E98&lt;=$B$31,'5A. Pagalbiniai skaičiavimai'!E99&gt;=$B$32),"ATITINKA","NEATITINKA"))</f>
        <v>#VALUE!</v>
      </c>
      <c r="K44" s="19" t="e">
        <f>IF(OR($B44="",'5A. Pagalbiniai skaičiavimai'!F95="",'5A. Pagalbiniai skaičiavimai'!F98="",'5A. Pagalbiniai skaičiavimai'!F99=""),"",IF(AND('5A. Pagalbiniai skaičiavimai'!F95&gt;0,'5A. Pagalbiniai skaičiavimai'!F98&lt;=$B$31,'5A. Pagalbiniai skaičiavimai'!F99&gt;=$B$32),"ATITINKA","NEATITINKA"))</f>
        <v>#VALUE!</v>
      </c>
      <c r="L44" s="19" t="e">
        <f>IF(OR($B44="",'5A. Pagalbiniai skaičiavimai'!G95="",'5A. Pagalbiniai skaičiavimai'!G98="",'5A. Pagalbiniai skaičiavimai'!G99=""),"",IF(AND('5A. Pagalbiniai skaičiavimai'!G95&gt;0,'5A. Pagalbiniai skaičiavimai'!G98&lt;=$B$31,'5A. Pagalbiniai skaičiavimai'!G99&gt;=$B$32),"ATITINKA","NEATITINKA"))</f>
        <v>#VALUE!</v>
      </c>
      <c r="M44" s="19" t="e">
        <f>IF(OR($B44="",'5A. Pagalbiniai skaičiavimai'!H95="",'5A. Pagalbiniai skaičiavimai'!H98="",'5A. Pagalbiniai skaičiavimai'!H99=""),"",IF(AND('5A. Pagalbiniai skaičiavimai'!H95&gt;0,'5A. Pagalbiniai skaičiavimai'!H98&lt;=$B$31,'5A. Pagalbiniai skaičiavimai'!H99&gt;=$B$32),"ATITINKA","NEATITINKA"))</f>
        <v>#VALUE!</v>
      </c>
      <c r="N44" s="19" t="e">
        <f>IF(OR($B44="",'5A. Pagalbiniai skaičiavimai'!I95="",'5A. Pagalbiniai skaičiavimai'!I98="",'5A. Pagalbiniai skaičiavimai'!I99=""),"",IF(AND('5A. Pagalbiniai skaičiavimai'!I95&gt;0,'5A. Pagalbiniai skaičiavimai'!I98&lt;=$B$31,'5A. Pagalbiniai skaičiavimai'!I99&gt;=$B$32),"ATITINKA","NEATITINKA"))</f>
        <v>#VALUE!</v>
      </c>
      <c r="O44" s="19" t="e">
        <f>IF(OR($B44="",'5A. Pagalbiniai skaičiavimai'!J95="",'5A. Pagalbiniai skaičiavimai'!J98="",'5A. Pagalbiniai skaičiavimai'!J99=""),"",IF(AND('5A. Pagalbiniai skaičiavimai'!J95&gt;0,'5A. Pagalbiniai skaičiavimai'!J98&lt;=$B$31,'5A. Pagalbiniai skaičiavimai'!J99&gt;=$B$32),"ATITINKA","NEATITINKA"))</f>
        <v>#VALUE!</v>
      </c>
      <c r="P44" s="19" t="e">
        <f>IF(OR($B44="",'5A. Pagalbiniai skaičiavimai'!K95="",'5A. Pagalbiniai skaičiavimai'!K98="",'5A. Pagalbiniai skaičiavimai'!K99=""),"",IF(AND('5A. Pagalbiniai skaičiavimai'!K95&gt;0,'5A. Pagalbiniai skaičiavimai'!K98&lt;=$B$31,'5A. Pagalbiniai skaičiavimai'!K99&gt;=$B$32),"ATITINKA","NEATITINKA"))</f>
        <v>#VALUE!</v>
      </c>
      <c r="Q44" s="19" t="e">
        <f>IF(OR($B44="",'5A. Pagalbiniai skaičiavimai'!L95="",'5A. Pagalbiniai skaičiavimai'!L98="",'5A. Pagalbiniai skaičiavimai'!L99=""),"",IF(AND('5A. Pagalbiniai skaičiavimai'!L95&gt;0,'5A. Pagalbiniai skaičiavimai'!L98&lt;=$B$31,'5A. Pagalbiniai skaičiavimai'!L99&gt;=$B$32),"ATITINKA","NEATITINKA"))</f>
        <v>#VALUE!</v>
      </c>
      <c r="R44" s="2"/>
      <c r="S44" s="2"/>
      <c r="T44" s="2"/>
    </row>
    <row r="45" spans="1:20">
      <c r="A45" s="19">
        <v>7</v>
      </c>
      <c r="B45" s="19" t="str">
        <f>IF(AND(COUNTA('2. Investicijos'!$B$5:$B$11)=7,COUNT('2. Investicijos'!$E$5:$E$11)=7,COUNT('2. Investicijos'!$F$5:$F$11)=7,COUNT('2. Investicijos'!$G$5:$G$11)=7,COUNT('2. Investicijos'!$H$5:$H$11)=7),'2. Investicijos'!B11,"")</f>
        <v/>
      </c>
      <c r="C45" s="19" t="str">
        <f>IF(OR(B45="",COUNT('3. Finansinės prielaidos'!$C$27:$L$32)&lt;60),"",IF(COUNTIF(H45:Q45,"ATITINKA")=10,"ATITINKA","NEATITINKA"))</f>
        <v/>
      </c>
      <c r="D45" s="19" t="str">
        <f t="shared" si="7"/>
        <v/>
      </c>
      <c r="E45" s="19" t="str">
        <f>IF(C45="","",IF(C45&lt;&gt;"NEATITINKA","–",IF(INDEX('5A. Pagalbiniai skaičiavimai'!$C$105:$L$105,1,MATCH("NEATITINKA",H45:Q45,0))&lt;=0,"EBITDA ≤ 0",IF(AND(INDEX('5A. Pagalbiniai skaičiavimai'!$C$108:$L$108,1,MATCH("NEATITINKA",H45:Q45,0))&gt;$B$31,INDEX('5A. Pagalbiniai skaičiavimai'!$C$109:$L$109,1,MATCH("NEATITINKA",H45:Q45,0))&lt;$B$32),"Abu kriterijai",IF(INDEX('5A. Pagalbiniai skaičiavimai'!$C$108:$L$108,1,MATCH("NEATITINKA",H45:Q45,0))&gt;$B$31,"Net Debt / EBITDA &gt; 5,5","DSCR &lt; 1,2")))))</f>
        <v/>
      </c>
      <c r="F45" s="21" t="str">
        <f>IF(C45="","",MAX('5A. Pagalbiniai skaičiavimai'!C108:L108))</f>
        <v/>
      </c>
      <c r="G45" s="21" t="str">
        <f>IF(C45="","",MIN('5A. Pagalbiniai skaičiavimai'!C109:L109))</f>
        <v/>
      </c>
      <c r="H45" s="19" t="e">
        <f>IF(OR($B45="",'5A. Pagalbiniai skaičiavimai'!C105="",'5A. Pagalbiniai skaičiavimai'!C108="",'5A. Pagalbiniai skaičiavimai'!C109=""),"",IF(AND('5A. Pagalbiniai skaičiavimai'!C105&gt;0,'5A. Pagalbiniai skaičiavimai'!C108&lt;=$B$31,'5A. Pagalbiniai skaičiavimai'!C109&gt;=$B$32),"ATITINKA","NEATITINKA"))</f>
        <v>#VALUE!</v>
      </c>
      <c r="I45" s="19" t="e">
        <f>IF(OR($B45="",'5A. Pagalbiniai skaičiavimai'!D105="",'5A. Pagalbiniai skaičiavimai'!D108="",'5A. Pagalbiniai skaičiavimai'!D109=""),"",IF(AND('5A. Pagalbiniai skaičiavimai'!D105&gt;0,'5A. Pagalbiniai skaičiavimai'!D108&lt;=$B$31,'5A. Pagalbiniai skaičiavimai'!D109&gt;=$B$32),"ATITINKA","NEATITINKA"))</f>
        <v>#VALUE!</v>
      </c>
      <c r="J45" s="19" t="e">
        <f>IF(OR($B45="",'5A. Pagalbiniai skaičiavimai'!E105="",'5A. Pagalbiniai skaičiavimai'!E108="",'5A. Pagalbiniai skaičiavimai'!E109=""),"",IF(AND('5A. Pagalbiniai skaičiavimai'!E105&gt;0,'5A. Pagalbiniai skaičiavimai'!E108&lt;=$B$31,'5A. Pagalbiniai skaičiavimai'!E109&gt;=$B$32),"ATITINKA","NEATITINKA"))</f>
        <v>#VALUE!</v>
      </c>
      <c r="K45" s="19" t="e">
        <f>IF(OR($B45="",'5A. Pagalbiniai skaičiavimai'!F105="",'5A. Pagalbiniai skaičiavimai'!F108="",'5A. Pagalbiniai skaičiavimai'!F109=""),"",IF(AND('5A. Pagalbiniai skaičiavimai'!F105&gt;0,'5A. Pagalbiniai skaičiavimai'!F108&lt;=$B$31,'5A. Pagalbiniai skaičiavimai'!F109&gt;=$B$32),"ATITINKA","NEATITINKA"))</f>
        <v>#VALUE!</v>
      </c>
      <c r="L45" s="19" t="e">
        <f>IF(OR($B45="",'5A. Pagalbiniai skaičiavimai'!G105="",'5A. Pagalbiniai skaičiavimai'!G108="",'5A. Pagalbiniai skaičiavimai'!G109=""),"",IF(AND('5A. Pagalbiniai skaičiavimai'!G105&gt;0,'5A. Pagalbiniai skaičiavimai'!G108&lt;=$B$31,'5A. Pagalbiniai skaičiavimai'!G109&gt;=$B$32),"ATITINKA","NEATITINKA"))</f>
        <v>#VALUE!</v>
      </c>
      <c r="M45" s="19" t="e">
        <f>IF(OR($B45="",'5A. Pagalbiniai skaičiavimai'!H105="",'5A. Pagalbiniai skaičiavimai'!H108="",'5A. Pagalbiniai skaičiavimai'!H109=""),"",IF(AND('5A. Pagalbiniai skaičiavimai'!H105&gt;0,'5A. Pagalbiniai skaičiavimai'!H108&lt;=$B$31,'5A. Pagalbiniai skaičiavimai'!H109&gt;=$B$32),"ATITINKA","NEATITINKA"))</f>
        <v>#VALUE!</v>
      </c>
      <c r="N45" s="19" t="e">
        <f>IF(OR($B45="",'5A. Pagalbiniai skaičiavimai'!I105="",'5A. Pagalbiniai skaičiavimai'!I108="",'5A. Pagalbiniai skaičiavimai'!I109=""),"",IF(AND('5A. Pagalbiniai skaičiavimai'!I105&gt;0,'5A. Pagalbiniai skaičiavimai'!I108&lt;=$B$31,'5A. Pagalbiniai skaičiavimai'!I109&gt;=$B$32),"ATITINKA","NEATITINKA"))</f>
        <v>#VALUE!</v>
      </c>
      <c r="O45" s="19" t="e">
        <f>IF(OR($B45="",'5A. Pagalbiniai skaičiavimai'!J105="",'5A. Pagalbiniai skaičiavimai'!J108="",'5A. Pagalbiniai skaičiavimai'!J109=""),"",IF(AND('5A. Pagalbiniai skaičiavimai'!J105&gt;0,'5A. Pagalbiniai skaičiavimai'!J108&lt;=$B$31,'5A. Pagalbiniai skaičiavimai'!J109&gt;=$B$32),"ATITINKA","NEATITINKA"))</f>
        <v>#VALUE!</v>
      </c>
      <c r="P45" s="19" t="e">
        <f>IF(OR($B45="",'5A. Pagalbiniai skaičiavimai'!K105="",'5A. Pagalbiniai skaičiavimai'!K108="",'5A. Pagalbiniai skaičiavimai'!K109=""),"",IF(AND('5A. Pagalbiniai skaičiavimai'!K105&gt;0,'5A. Pagalbiniai skaičiavimai'!K108&lt;=$B$31,'5A. Pagalbiniai skaičiavimai'!K109&gt;=$B$32),"ATITINKA","NEATITINKA"))</f>
        <v>#VALUE!</v>
      </c>
      <c r="Q45" s="19" t="e">
        <f>IF(OR($B45="",'5A. Pagalbiniai skaičiavimai'!L105="",'5A. Pagalbiniai skaičiavimai'!L108="",'5A. Pagalbiniai skaičiavimai'!L109=""),"",IF(AND('5A. Pagalbiniai skaičiavimai'!L105&gt;0,'5A. Pagalbiniai skaičiavimai'!L108&lt;=$B$31,'5A. Pagalbiniai skaičiavimai'!L109&gt;=$B$32),"ATITINKA","NEATITINKA"))</f>
        <v>#VALUE!</v>
      </c>
      <c r="R45" s="2"/>
      <c r="S45" s="2"/>
      <c r="T45" s="2"/>
    </row>
    <row r="46" spans="1:20">
      <c r="A46" s="19">
        <v>8</v>
      </c>
      <c r="B46" s="19" t="str">
        <f>IF(AND(COUNTA('2. Investicijos'!$B$5:$B$12)=8,COUNT('2. Investicijos'!$E$5:$E$12)=8,COUNT('2. Investicijos'!$F$5:$F$12)=8,COUNT('2. Investicijos'!$G$5:$G$12)=8,COUNT('2. Investicijos'!$H$5:$H$12)=8),'2. Investicijos'!B12,"")</f>
        <v/>
      </c>
      <c r="C46" s="19" t="str">
        <f>IF(OR(B46="",COUNT('3. Finansinės prielaidos'!$C$27:$L$32)&lt;60),"",IF(COUNTIF(H46:Q46,"ATITINKA")=10,"ATITINKA","NEATITINKA"))</f>
        <v/>
      </c>
      <c r="D46" s="19" t="str">
        <f t="shared" si="7"/>
        <v/>
      </c>
      <c r="E46" s="19" t="str">
        <f>IF(C46="","",IF(C46&lt;&gt;"NEATITINKA","–",IF(INDEX('5A. Pagalbiniai skaičiavimai'!$C$115:$L$115,1,MATCH("NEATITINKA",H46:Q46,0))&lt;=0,"EBITDA ≤ 0",IF(AND(INDEX('5A. Pagalbiniai skaičiavimai'!$C$118:$L$118,1,MATCH("NEATITINKA",H46:Q46,0))&gt;$B$31,INDEX('5A. Pagalbiniai skaičiavimai'!$C$119:$L$119,1,MATCH("NEATITINKA",H46:Q46,0))&lt;$B$32),"Abu kriterijai",IF(INDEX('5A. Pagalbiniai skaičiavimai'!$C$118:$L$118,1,MATCH("NEATITINKA",H46:Q46,0))&gt;$B$31,"Net Debt / EBITDA &gt; 5,5","DSCR &lt; 1,2")))))</f>
        <v/>
      </c>
      <c r="F46" s="21" t="str">
        <f>IF(C46="","",MAX('5A. Pagalbiniai skaičiavimai'!C118:L118))</f>
        <v/>
      </c>
      <c r="G46" s="21" t="str">
        <f>IF(C46="","",MIN('5A. Pagalbiniai skaičiavimai'!C119:L119))</f>
        <v/>
      </c>
      <c r="H46" s="19" t="e">
        <f>IF(OR($B46="",'5A. Pagalbiniai skaičiavimai'!C115="",'5A. Pagalbiniai skaičiavimai'!C118="",'5A. Pagalbiniai skaičiavimai'!C119=""),"",IF(AND('5A. Pagalbiniai skaičiavimai'!C115&gt;0,'5A. Pagalbiniai skaičiavimai'!C118&lt;=$B$31,'5A. Pagalbiniai skaičiavimai'!C119&gt;=$B$32),"ATITINKA","NEATITINKA"))</f>
        <v>#VALUE!</v>
      </c>
      <c r="I46" s="19" t="e">
        <f>IF(OR($B46="",'5A. Pagalbiniai skaičiavimai'!D115="",'5A. Pagalbiniai skaičiavimai'!D118="",'5A. Pagalbiniai skaičiavimai'!D119=""),"",IF(AND('5A. Pagalbiniai skaičiavimai'!D115&gt;0,'5A. Pagalbiniai skaičiavimai'!D118&lt;=$B$31,'5A. Pagalbiniai skaičiavimai'!D119&gt;=$B$32),"ATITINKA","NEATITINKA"))</f>
        <v>#VALUE!</v>
      </c>
      <c r="J46" s="19" t="e">
        <f>IF(OR($B46="",'5A. Pagalbiniai skaičiavimai'!E115="",'5A. Pagalbiniai skaičiavimai'!E118="",'5A. Pagalbiniai skaičiavimai'!E119=""),"",IF(AND('5A. Pagalbiniai skaičiavimai'!E115&gt;0,'5A. Pagalbiniai skaičiavimai'!E118&lt;=$B$31,'5A. Pagalbiniai skaičiavimai'!E119&gt;=$B$32),"ATITINKA","NEATITINKA"))</f>
        <v>#VALUE!</v>
      </c>
      <c r="K46" s="19" t="e">
        <f>IF(OR($B46="",'5A. Pagalbiniai skaičiavimai'!F115="",'5A. Pagalbiniai skaičiavimai'!F118="",'5A. Pagalbiniai skaičiavimai'!F119=""),"",IF(AND('5A. Pagalbiniai skaičiavimai'!F115&gt;0,'5A. Pagalbiniai skaičiavimai'!F118&lt;=$B$31,'5A. Pagalbiniai skaičiavimai'!F119&gt;=$B$32),"ATITINKA","NEATITINKA"))</f>
        <v>#VALUE!</v>
      </c>
      <c r="L46" s="19" t="e">
        <f>IF(OR($B46="",'5A. Pagalbiniai skaičiavimai'!G115="",'5A. Pagalbiniai skaičiavimai'!G118="",'5A. Pagalbiniai skaičiavimai'!G119=""),"",IF(AND('5A. Pagalbiniai skaičiavimai'!G115&gt;0,'5A. Pagalbiniai skaičiavimai'!G118&lt;=$B$31,'5A. Pagalbiniai skaičiavimai'!G119&gt;=$B$32),"ATITINKA","NEATITINKA"))</f>
        <v>#VALUE!</v>
      </c>
      <c r="M46" s="19" t="e">
        <f>IF(OR($B46="",'5A. Pagalbiniai skaičiavimai'!H115="",'5A. Pagalbiniai skaičiavimai'!H118="",'5A. Pagalbiniai skaičiavimai'!H119=""),"",IF(AND('5A. Pagalbiniai skaičiavimai'!H115&gt;0,'5A. Pagalbiniai skaičiavimai'!H118&lt;=$B$31,'5A. Pagalbiniai skaičiavimai'!H119&gt;=$B$32),"ATITINKA","NEATITINKA"))</f>
        <v>#VALUE!</v>
      </c>
      <c r="N46" s="19" t="e">
        <f>IF(OR($B46="",'5A. Pagalbiniai skaičiavimai'!I115="",'5A. Pagalbiniai skaičiavimai'!I118="",'5A. Pagalbiniai skaičiavimai'!I119=""),"",IF(AND('5A. Pagalbiniai skaičiavimai'!I115&gt;0,'5A. Pagalbiniai skaičiavimai'!I118&lt;=$B$31,'5A. Pagalbiniai skaičiavimai'!I119&gt;=$B$32),"ATITINKA","NEATITINKA"))</f>
        <v>#VALUE!</v>
      </c>
      <c r="O46" s="19" t="e">
        <f>IF(OR($B46="",'5A. Pagalbiniai skaičiavimai'!J115="",'5A. Pagalbiniai skaičiavimai'!J118="",'5A. Pagalbiniai skaičiavimai'!J119=""),"",IF(AND('5A. Pagalbiniai skaičiavimai'!J115&gt;0,'5A. Pagalbiniai skaičiavimai'!J118&lt;=$B$31,'5A. Pagalbiniai skaičiavimai'!J119&gt;=$B$32),"ATITINKA","NEATITINKA"))</f>
        <v>#VALUE!</v>
      </c>
      <c r="P46" s="19" t="e">
        <f>IF(OR($B46="",'5A. Pagalbiniai skaičiavimai'!K115="",'5A. Pagalbiniai skaičiavimai'!K118="",'5A. Pagalbiniai skaičiavimai'!K119=""),"",IF(AND('5A. Pagalbiniai skaičiavimai'!K115&gt;0,'5A. Pagalbiniai skaičiavimai'!K118&lt;=$B$31,'5A. Pagalbiniai skaičiavimai'!K119&gt;=$B$32),"ATITINKA","NEATITINKA"))</f>
        <v>#VALUE!</v>
      </c>
      <c r="Q46" s="19" t="e">
        <f>IF(OR($B46="",'5A. Pagalbiniai skaičiavimai'!L115="",'5A. Pagalbiniai skaičiavimai'!L118="",'5A. Pagalbiniai skaičiavimai'!L119=""),"",IF(AND('5A. Pagalbiniai skaičiavimai'!L115&gt;0,'5A. Pagalbiniai skaičiavimai'!L118&lt;=$B$31,'5A. Pagalbiniai skaičiavimai'!L119&gt;=$B$32),"ATITINKA","NEATITINKA"))</f>
        <v>#VALUE!</v>
      </c>
      <c r="R46" s="2"/>
      <c r="S46" s="2"/>
      <c r="T46" s="2"/>
    </row>
    <row r="47" spans="1:20">
      <c r="A47" s="19">
        <v>9</v>
      </c>
      <c r="B47" s="19" t="str">
        <f>IF(AND(COUNTA('2. Investicijos'!$B$5:$B$13)=9,COUNT('2. Investicijos'!$E$5:$E$13)=9,COUNT('2. Investicijos'!$F$5:$F$13)=9,COUNT('2. Investicijos'!$G$5:$G$13)=9,COUNT('2. Investicijos'!$H$5:$H$13)=9),'2. Investicijos'!B13,"")</f>
        <v/>
      </c>
      <c r="C47" s="19" t="str">
        <f>IF(OR(B47="",COUNT('3. Finansinės prielaidos'!$C$27:$L$32)&lt;60),"",IF(COUNTIF(H47:Q47,"ATITINKA")=10,"ATITINKA","NEATITINKA"))</f>
        <v/>
      </c>
      <c r="D47" s="19" t="str">
        <f t="shared" si="7"/>
        <v/>
      </c>
      <c r="E47" s="19" t="str">
        <f>IF(C47="","",IF(C47&lt;&gt;"NEATITINKA","–",IF(INDEX('5A. Pagalbiniai skaičiavimai'!$C$125:$L$125,1,MATCH("NEATITINKA",H47:Q47,0))&lt;=0,"EBITDA ≤ 0",IF(AND(INDEX('5A. Pagalbiniai skaičiavimai'!$C$128:$L$128,1,MATCH("NEATITINKA",H47:Q47,0))&gt;$B$31,INDEX('5A. Pagalbiniai skaičiavimai'!$C$129:$L$129,1,MATCH("NEATITINKA",H47:Q47,0))&lt;$B$32),"Abu kriterijai",IF(INDEX('5A. Pagalbiniai skaičiavimai'!$C$128:$L$128,1,MATCH("NEATITINKA",H47:Q47,0))&gt;$B$31,"Net Debt / EBITDA &gt; 5,5","DSCR &lt; 1,2")))))</f>
        <v/>
      </c>
      <c r="F47" s="21" t="str">
        <f>IF(C47="","",MAX('5A. Pagalbiniai skaičiavimai'!C128:L128))</f>
        <v/>
      </c>
      <c r="G47" s="21" t="str">
        <f>IF(C47="","",MIN('5A. Pagalbiniai skaičiavimai'!C129:L129))</f>
        <v/>
      </c>
      <c r="H47" s="19" t="e">
        <f>IF(OR($B47="",'5A. Pagalbiniai skaičiavimai'!C125="",'5A. Pagalbiniai skaičiavimai'!C128="",'5A. Pagalbiniai skaičiavimai'!C129=""),"",IF(AND('5A. Pagalbiniai skaičiavimai'!C125&gt;0,'5A. Pagalbiniai skaičiavimai'!C128&lt;=$B$31,'5A. Pagalbiniai skaičiavimai'!C129&gt;=$B$32),"ATITINKA","NEATITINKA"))</f>
        <v>#VALUE!</v>
      </c>
      <c r="I47" s="19" t="e">
        <f>IF(OR($B47="",'5A. Pagalbiniai skaičiavimai'!D125="",'5A. Pagalbiniai skaičiavimai'!D128="",'5A. Pagalbiniai skaičiavimai'!D129=""),"",IF(AND('5A. Pagalbiniai skaičiavimai'!D125&gt;0,'5A. Pagalbiniai skaičiavimai'!D128&lt;=$B$31,'5A. Pagalbiniai skaičiavimai'!D129&gt;=$B$32),"ATITINKA","NEATITINKA"))</f>
        <v>#VALUE!</v>
      </c>
      <c r="J47" s="19" t="e">
        <f>IF(OR($B47="",'5A. Pagalbiniai skaičiavimai'!E125="",'5A. Pagalbiniai skaičiavimai'!E128="",'5A. Pagalbiniai skaičiavimai'!E129=""),"",IF(AND('5A. Pagalbiniai skaičiavimai'!E125&gt;0,'5A. Pagalbiniai skaičiavimai'!E128&lt;=$B$31,'5A. Pagalbiniai skaičiavimai'!E129&gt;=$B$32),"ATITINKA","NEATITINKA"))</f>
        <v>#VALUE!</v>
      </c>
      <c r="K47" s="19" t="e">
        <f>IF(OR($B47="",'5A. Pagalbiniai skaičiavimai'!F125="",'5A. Pagalbiniai skaičiavimai'!F128="",'5A. Pagalbiniai skaičiavimai'!F129=""),"",IF(AND('5A. Pagalbiniai skaičiavimai'!F125&gt;0,'5A. Pagalbiniai skaičiavimai'!F128&lt;=$B$31,'5A. Pagalbiniai skaičiavimai'!F129&gt;=$B$32),"ATITINKA","NEATITINKA"))</f>
        <v>#VALUE!</v>
      </c>
      <c r="L47" s="19" t="e">
        <f>IF(OR($B47="",'5A. Pagalbiniai skaičiavimai'!G125="",'5A. Pagalbiniai skaičiavimai'!G128="",'5A. Pagalbiniai skaičiavimai'!G129=""),"",IF(AND('5A. Pagalbiniai skaičiavimai'!G125&gt;0,'5A. Pagalbiniai skaičiavimai'!G128&lt;=$B$31,'5A. Pagalbiniai skaičiavimai'!G129&gt;=$B$32),"ATITINKA","NEATITINKA"))</f>
        <v>#VALUE!</v>
      </c>
      <c r="M47" s="19" t="e">
        <f>IF(OR($B47="",'5A. Pagalbiniai skaičiavimai'!H125="",'5A. Pagalbiniai skaičiavimai'!H128="",'5A. Pagalbiniai skaičiavimai'!H129=""),"",IF(AND('5A. Pagalbiniai skaičiavimai'!H125&gt;0,'5A. Pagalbiniai skaičiavimai'!H128&lt;=$B$31,'5A. Pagalbiniai skaičiavimai'!H129&gt;=$B$32),"ATITINKA","NEATITINKA"))</f>
        <v>#VALUE!</v>
      </c>
      <c r="N47" s="19" t="e">
        <f>IF(OR($B47="",'5A. Pagalbiniai skaičiavimai'!I125="",'5A. Pagalbiniai skaičiavimai'!I128="",'5A. Pagalbiniai skaičiavimai'!I129=""),"",IF(AND('5A. Pagalbiniai skaičiavimai'!I125&gt;0,'5A. Pagalbiniai skaičiavimai'!I128&lt;=$B$31,'5A. Pagalbiniai skaičiavimai'!I129&gt;=$B$32),"ATITINKA","NEATITINKA"))</f>
        <v>#VALUE!</v>
      </c>
      <c r="O47" s="19" t="e">
        <f>IF(OR($B47="",'5A. Pagalbiniai skaičiavimai'!J125="",'5A. Pagalbiniai skaičiavimai'!J128="",'5A. Pagalbiniai skaičiavimai'!J129=""),"",IF(AND('5A. Pagalbiniai skaičiavimai'!J125&gt;0,'5A. Pagalbiniai skaičiavimai'!J128&lt;=$B$31,'5A. Pagalbiniai skaičiavimai'!J129&gt;=$B$32),"ATITINKA","NEATITINKA"))</f>
        <v>#VALUE!</v>
      </c>
      <c r="P47" s="19" t="e">
        <f>IF(OR($B47="",'5A. Pagalbiniai skaičiavimai'!K125="",'5A. Pagalbiniai skaičiavimai'!K128="",'5A. Pagalbiniai skaičiavimai'!K129=""),"",IF(AND('5A. Pagalbiniai skaičiavimai'!K125&gt;0,'5A. Pagalbiniai skaičiavimai'!K128&lt;=$B$31,'5A. Pagalbiniai skaičiavimai'!K129&gt;=$B$32),"ATITINKA","NEATITINKA"))</f>
        <v>#VALUE!</v>
      </c>
      <c r="Q47" s="19" t="e">
        <f>IF(OR($B47="",'5A. Pagalbiniai skaičiavimai'!L125="",'5A. Pagalbiniai skaičiavimai'!L128="",'5A. Pagalbiniai skaičiavimai'!L129=""),"",IF(AND('5A. Pagalbiniai skaičiavimai'!L125&gt;0,'5A. Pagalbiniai skaičiavimai'!L128&lt;=$B$31,'5A. Pagalbiniai skaičiavimai'!L129&gt;=$B$32),"ATITINKA","NEATITINKA"))</f>
        <v>#VALUE!</v>
      </c>
      <c r="R47" s="2"/>
      <c r="S47" s="2"/>
      <c r="T47" s="2"/>
    </row>
    <row r="48" spans="1:20">
      <c r="A48" s="19">
        <v>10</v>
      </c>
      <c r="B48" s="19" t="str">
        <f>IF(AND(COUNTA('2. Investicijos'!$B$5:$B$14)=10,COUNT('2. Investicijos'!$E$5:$E$14)=10,COUNT('2. Investicijos'!$F$5:$F$14)=10,COUNT('2. Investicijos'!$G$5:$G$14)=10,COUNT('2. Investicijos'!$H$5:$H$14)=10),'2. Investicijos'!B14,"")</f>
        <v/>
      </c>
      <c r="C48" s="19" t="str">
        <f>IF(OR(B48="",COUNT('3. Finansinės prielaidos'!$C$27:$L$32)&lt;60),"",IF(COUNTIF(H48:Q48,"ATITINKA")=10,"ATITINKA","NEATITINKA"))</f>
        <v/>
      </c>
      <c r="D48" s="19" t="str">
        <f t="shared" si="7"/>
        <v/>
      </c>
      <c r="E48" s="19" t="str">
        <f>IF(C48="","",IF(C48&lt;&gt;"NEATITINKA","–",IF(INDEX('5A. Pagalbiniai skaičiavimai'!$C$135:$L$135,1,MATCH("NEATITINKA",H48:Q48,0))&lt;=0,"EBITDA ≤ 0",IF(AND(INDEX('5A. Pagalbiniai skaičiavimai'!$C$138:$L$138,1,MATCH("NEATITINKA",H48:Q48,0))&gt;$B$31,INDEX('5A. Pagalbiniai skaičiavimai'!$C$139:$L$139,1,MATCH("NEATITINKA",H48:Q48,0))&lt;$B$32),"Abu kriterijai",IF(INDEX('5A. Pagalbiniai skaičiavimai'!$C$138:$L$138,1,MATCH("NEATITINKA",H48:Q48,0))&gt;$B$31,"Net Debt / EBITDA &gt; 5,5","DSCR &lt; 1,2")))))</f>
        <v/>
      </c>
      <c r="F48" s="21" t="str">
        <f>IF(C48="","",MAX('5A. Pagalbiniai skaičiavimai'!C138:L138))</f>
        <v/>
      </c>
      <c r="G48" s="21" t="str">
        <f>IF(C48="","",MIN('5A. Pagalbiniai skaičiavimai'!C139:L139))</f>
        <v/>
      </c>
      <c r="H48" s="19" t="e">
        <f>IF(OR($B48="",'5A. Pagalbiniai skaičiavimai'!C135="",'5A. Pagalbiniai skaičiavimai'!C138="",'5A. Pagalbiniai skaičiavimai'!C139=""),"",IF(AND('5A. Pagalbiniai skaičiavimai'!C135&gt;0,'5A. Pagalbiniai skaičiavimai'!C138&lt;=$B$31,'5A. Pagalbiniai skaičiavimai'!C139&gt;=$B$32),"ATITINKA","NEATITINKA"))</f>
        <v>#VALUE!</v>
      </c>
      <c r="I48" s="19" t="e">
        <f>IF(OR($B48="",'5A. Pagalbiniai skaičiavimai'!D135="",'5A. Pagalbiniai skaičiavimai'!D138="",'5A. Pagalbiniai skaičiavimai'!D139=""),"",IF(AND('5A. Pagalbiniai skaičiavimai'!D135&gt;0,'5A. Pagalbiniai skaičiavimai'!D138&lt;=$B$31,'5A. Pagalbiniai skaičiavimai'!D139&gt;=$B$32),"ATITINKA","NEATITINKA"))</f>
        <v>#VALUE!</v>
      </c>
      <c r="J48" s="19" t="e">
        <f>IF(OR($B48="",'5A. Pagalbiniai skaičiavimai'!E135="",'5A. Pagalbiniai skaičiavimai'!E138="",'5A. Pagalbiniai skaičiavimai'!E139=""),"",IF(AND('5A. Pagalbiniai skaičiavimai'!E135&gt;0,'5A. Pagalbiniai skaičiavimai'!E138&lt;=$B$31,'5A. Pagalbiniai skaičiavimai'!E139&gt;=$B$32),"ATITINKA","NEATITINKA"))</f>
        <v>#VALUE!</v>
      </c>
      <c r="K48" s="19" t="e">
        <f>IF(OR($B48="",'5A. Pagalbiniai skaičiavimai'!F135="",'5A. Pagalbiniai skaičiavimai'!F138="",'5A. Pagalbiniai skaičiavimai'!F139=""),"",IF(AND('5A. Pagalbiniai skaičiavimai'!F135&gt;0,'5A. Pagalbiniai skaičiavimai'!F138&lt;=$B$31,'5A. Pagalbiniai skaičiavimai'!F139&gt;=$B$32),"ATITINKA","NEATITINKA"))</f>
        <v>#VALUE!</v>
      </c>
      <c r="L48" s="19" t="e">
        <f>IF(OR($B48="",'5A. Pagalbiniai skaičiavimai'!G135="",'5A. Pagalbiniai skaičiavimai'!G138="",'5A. Pagalbiniai skaičiavimai'!G139=""),"",IF(AND('5A. Pagalbiniai skaičiavimai'!G135&gt;0,'5A. Pagalbiniai skaičiavimai'!G138&lt;=$B$31,'5A. Pagalbiniai skaičiavimai'!G139&gt;=$B$32),"ATITINKA","NEATITINKA"))</f>
        <v>#VALUE!</v>
      </c>
      <c r="M48" s="19" t="e">
        <f>IF(OR($B48="",'5A. Pagalbiniai skaičiavimai'!H135="",'5A. Pagalbiniai skaičiavimai'!H138="",'5A. Pagalbiniai skaičiavimai'!H139=""),"",IF(AND('5A. Pagalbiniai skaičiavimai'!H135&gt;0,'5A. Pagalbiniai skaičiavimai'!H138&lt;=$B$31,'5A. Pagalbiniai skaičiavimai'!H139&gt;=$B$32),"ATITINKA","NEATITINKA"))</f>
        <v>#VALUE!</v>
      </c>
      <c r="N48" s="19" t="e">
        <f>IF(OR($B48="",'5A. Pagalbiniai skaičiavimai'!I135="",'5A. Pagalbiniai skaičiavimai'!I138="",'5A. Pagalbiniai skaičiavimai'!I139=""),"",IF(AND('5A. Pagalbiniai skaičiavimai'!I135&gt;0,'5A. Pagalbiniai skaičiavimai'!I138&lt;=$B$31,'5A. Pagalbiniai skaičiavimai'!I139&gt;=$B$32),"ATITINKA","NEATITINKA"))</f>
        <v>#VALUE!</v>
      </c>
      <c r="O48" s="19" t="e">
        <f>IF(OR($B48="",'5A. Pagalbiniai skaičiavimai'!J135="",'5A. Pagalbiniai skaičiavimai'!J138="",'5A. Pagalbiniai skaičiavimai'!J139=""),"",IF(AND('5A. Pagalbiniai skaičiavimai'!J135&gt;0,'5A. Pagalbiniai skaičiavimai'!J138&lt;=$B$31,'5A. Pagalbiniai skaičiavimai'!J139&gt;=$B$32),"ATITINKA","NEATITINKA"))</f>
        <v>#VALUE!</v>
      </c>
      <c r="P48" s="19" t="e">
        <f>IF(OR($B48="",'5A. Pagalbiniai skaičiavimai'!K135="",'5A. Pagalbiniai skaičiavimai'!K138="",'5A. Pagalbiniai skaičiavimai'!K139=""),"",IF(AND('5A. Pagalbiniai skaičiavimai'!K135&gt;0,'5A. Pagalbiniai skaičiavimai'!K138&lt;=$B$31,'5A. Pagalbiniai skaičiavimai'!K139&gt;=$B$32),"ATITINKA","NEATITINKA"))</f>
        <v>#VALUE!</v>
      </c>
      <c r="Q48" s="19" t="e">
        <f>IF(OR($B48="",'5A. Pagalbiniai skaičiavimai'!L135="",'5A. Pagalbiniai skaičiavimai'!L138="",'5A. Pagalbiniai skaičiavimai'!L139=""),"",IF(AND('5A. Pagalbiniai skaičiavimai'!L135&gt;0,'5A. Pagalbiniai skaičiavimai'!L138&lt;=$B$31,'5A. Pagalbiniai skaičiavimai'!L139&gt;=$B$32),"ATITINKA","NEATITINKA"))</f>
        <v>#VALUE!</v>
      </c>
      <c r="R48" s="2"/>
      <c r="S48" s="2"/>
      <c r="T48" s="2"/>
    </row>
    <row r="49" spans="1:20">
      <c r="A49" s="19">
        <v>11</v>
      </c>
      <c r="B49" s="19" t="str">
        <f>IF(AND(COUNTA('2. Investicijos'!$B$5:$B$15)=11,COUNT('2. Investicijos'!$E$5:$E$15)=11,COUNT('2. Investicijos'!$F$5:$F$15)=11,COUNT('2. Investicijos'!$G$5:$G$15)=11,COUNT('2. Investicijos'!$H$5:$H$15)=11),'2. Investicijos'!B15,"")</f>
        <v/>
      </c>
      <c r="C49" s="19" t="str">
        <f>IF(OR(B49="",COUNT('3. Finansinės prielaidos'!$C$27:$L$32)&lt;60),"",IF(COUNTIF(H49:Q49,"ATITINKA")=10,"ATITINKA","NEATITINKA"))</f>
        <v/>
      </c>
      <c r="D49" s="19" t="str">
        <f t="shared" si="7"/>
        <v/>
      </c>
      <c r="E49" s="19" t="str">
        <f>IF(C49="","",IF(C49&lt;&gt;"NEATITINKA","–",IF(INDEX('5A. Pagalbiniai skaičiavimai'!$C$145:$L$145,1,MATCH("NEATITINKA",H49:Q49,0))&lt;=0,"EBITDA ≤ 0",IF(AND(INDEX('5A. Pagalbiniai skaičiavimai'!$C$148:$L$148,1,MATCH("NEATITINKA",H49:Q49,0))&gt;$B$31,INDEX('5A. Pagalbiniai skaičiavimai'!$C$149:$L$149,1,MATCH("NEATITINKA",H49:Q49,0))&lt;$B$32),"Abu kriterijai",IF(INDEX('5A. Pagalbiniai skaičiavimai'!$C$148:$L$148,1,MATCH("NEATITINKA",H49:Q49,0))&gt;$B$31,"Net Debt / EBITDA &gt; 5,5","DSCR &lt; 1,2")))))</f>
        <v/>
      </c>
      <c r="F49" s="21" t="str">
        <f>IF(C49="","",MAX('5A. Pagalbiniai skaičiavimai'!C148:L148))</f>
        <v/>
      </c>
      <c r="G49" s="21" t="str">
        <f>IF(C49="","",MIN('5A. Pagalbiniai skaičiavimai'!C149:L149))</f>
        <v/>
      </c>
      <c r="H49" s="19" t="e">
        <f>IF(OR($B49="",'5A. Pagalbiniai skaičiavimai'!C145="",'5A. Pagalbiniai skaičiavimai'!C148="",'5A. Pagalbiniai skaičiavimai'!C149=""),"",IF(AND('5A. Pagalbiniai skaičiavimai'!C145&gt;0,'5A. Pagalbiniai skaičiavimai'!C148&lt;=$B$31,'5A. Pagalbiniai skaičiavimai'!C149&gt;=$B$32),"ATITINKA","NEATITINKA"))</f>
        <v>#VALUE!</v>
      </c>
      <c r="I49" s="19" t="e">
        <f>IF(OR($B49="",'5A. Pagalbiniai skaičiavimai'!D145="",'5A. Pagalbiniai skaičiavimai'!D148="",'5A. Pagalbiniai skaičiavimai'!D149=""),"",IF(AND('5A. Pagalbiniai skaičiavimai'!D145&gt;0,'5A. Pagalbiniai skaičiavimai'!D148&lt;=$B$31,'5A. Pagalbiniai skaičiavimai'!D149&gt;=$B$32),"ATITINKA","NEATITINKA"))</f>
        <v>#VALUE!</v>
      </c>
      <c r="J49" s="19" t="e">
        <f>IF(OR($B49="",'5A. Pagalbiniai skaičiavimai'!E145="",'5A. Pagalbiniai skaičiavimai'!E148="",'5A. Pagalbiniai skaičiavimai'!E149=""),"",IF(AND('5A. Pagalbiniai skaičiavimai'!E145&gt;0,'5A. Pagalbiniai skaičiavimai'!E148&lt;=$B$31,'5A. Pagalbiniai skaičiavimai'!E149&gt;=$B$32),"ATITINKA","NEATITINKA"))</f>
        <v>#VALUE!</v>
      </c>
      <c r="K49" s="19" t="e">
        <f>IF(OR($B49="",'5A. Pagalbiniai skaičiavimai'!F145="",'5A. Pagalbiniai skaičiavimai'!F148="",'5A. Pagalbiniai skaičiavimai'!F149=""),"",IF(AND('5A. Pagalbiniai skaičiavimai'!F145&gt;0,'5A. Pagalbiniai skaičiavimai'!F148&lt;=$B$31,'5A. Pagalbiniai skaičiavimai'!F149&gt;=$B$32),"ATITINKA","NEATITINKA"))</f>
        <v>#VALUE!</v>
      </c>
      <c r="L49" s="19" t="e">
        <f>IF(OR($B49="",'5A. Pagalbiniai skaičiavimai'!G145="",'5A. Pagalbiniai skaičiavimai'!G148="",'5A. Pagalbiniai skaičiavimai'!G149=""),"",IF(AND('5A. Pagalbiniai skaičiavimai'!G145&gt;0,'5A. Pagalbiniai skaičiavimai'!G148&lt;=$B$31,'5A. Pagalbiniai skaičiavimai'!G149&gt;=$B$32),"ATITINKA","NEATITINKA"))</f>
        <v>#VALUE!</v>
      </c>
      <c r="M49" s="19" t="e">
        <f>IF(OR($B49="",'5A. Pagalbiniai skaičiavimai'!H145="",'5A. Pagalbiniai skaičiavimai'!H148="",'5A. Pagalbiniai skaičiavimai'!H149=""),"",IF(AND('5A. Pagalbiniai skaičiavimai'!H145&gt;0,'5A. Pagalbiniai skaičiavimai'!H148&lt;=$B$31,'5A. Pagalbiniai skaičiavimai'!H149&gt;=$B$32),"ATITINKA","NEATITINKA"))</f>
        <v>#VALUE!</v>
      </c>
      <c r="N49" s="19" t="e">
        <f>IF(OR($B49="",'5A. Pagalbiniai skaičiavimai'!I145="",'5A. Pagalbiniai skaičiavimai'!I148="",'5A. Pagalbiniai skaičiavimai'!I149=""),"",IF(AND('5A. Pagalbiniai skaičiavimai'!I145&gt;0,'5A. Pagalbiniai skaičiavimai'!I148&lt;=$B$31,'5A. Pagalbiniai skaičiavimai'!I149&gt;=$B$32),"ATITINKA","NEATITINKA"))</f>
        <v>#VALUE!</v>
      </c>
      <c r="O49" s="19" t="e">
        <f>IF(OR($B49="",'5A. Pagalbiniai skaičiavimai'!J145="",'5A. Pagalbiniai skaičiavimai'!J148="",'5A. Pagalbiniai skaičiavimai'!J149=""),"",IF(AND('5A. Pagalbiniai skaičiavimai'!J145&gt;0,'5A. Pagalbiniai skaičiavimai'!J148&lt;=$B$31,'5A. Pagalbiniai skaičiavimai'!J149&gt;=$B$32),"ATITINKA","NEATITINKA"))</f>
        <v>#VALUE!</v>
      </c>
      <c r="P49" s="19" t="e">
        <f>IF(OR($B49="",'5A. Pagalbiniai skaičiavimai'!K145="",'5A. Pagalbiniai skaičiavimai'!K148="",'5A. Pagalbiniai skaičiavimai'!K149=""),"",IF(AND('5A. Pagalbiniai skaičiavimai'!K145&gt;0,'5A. Pagalbiniai skaičiavimai'!K148&lt;=$B$31,'5A. Pagalbiniai skaičiavimai'!K149&gt;=$B$32),"ATITINKA","NEATITINKA"))</f>
        <v>#VALUE!</v>
      </c>
      <c r="Q49" s="19" t="e">
        <f>IF(OR($B49="",'5A. Pagalbiniai skaičiavimai'!L145="",'5A. Pagalbiniai skaičiavimai'!L148="",'5A. Pagalbiniai skaičiavimai'!L149=""),"",IF(AND('5A. Pagalbiniai skaičiavimai'!L145&gt;0,'5A. Pagalbiniai skaičiavimai'!L148&lt;=$B$31,'5A. Pagalbiniai skaičiavimai'!L149&gt;=$B$32),"ATITINKA","NEATITINKA"))</f>
        <v>#VALUE!</v>
      </c>
      <c r="R49" s="2"/>
      <c r="S49" s="2"/>
      <c r="T49" s="2"/>
    </row>
    <row r="50" spans="1:20">
      <c r="A50" s="19">
        <v>12</v>
      </c>
      <c r="B50" s="19" t="str">
        <f>IF(AND(COUNTA('2. Investicijos'!$B$5:$B$16)=12,COUNT('2. Investicijos'!$E$5:$E$16)=12,COUNT('2. Investicijos'!$F$5:$F$16)=12,COUNT('2. Investicijos'!$G$5:$G$16)=12,COUNT('2. Investicijos'!$H$5:$H$16)=12),'2. Investicijos'!B16,"")</f>
        <v/>
      </c>
      <c r="C50" s="19" t="str">
        <f>IF(OR(B50="",COUNT('3. Finansinės prielaidos'!$C$27:$L$32)&lt;60),"",IF(COUNTIF(H50:Q50,"ATITINKA")=10,"ATITINKA","NEATITINKA"))</f>
        <v/>
      </c>
      <c r="D50" s="19" t="str">
        <f t="shared" si="7"/>
        <v/>
      </c>
      <c r="E50" s="19" t="str">
        <f>IF(C50="","",IF(C50&lt;&gt;"NEATITINKA","–",IF(INDEX('5A. Pagalbiniai skaičiavimai'!$C$155:$L$155,1,MATCH("NEATITINKA",H50:Q50,0))&lt;=0,"EBITDA ≤ 0",IF(AND(INDEX('5A. Pagalbiniai skaičiavimai'!$C$158:$L$158,1,MATCH("NEATITINKA",H50:Q50,0))&gt;$B$31,INDEX('5A. Pagalbiniai skaičiavimai'!$C$159:$L$159,1,MATCH("NEATITINKA",H50:Q50,0))&lt;$B$32),"Abu kriterijai",IF(INDEX('5A. Pagalbiniai skaičiavimai'!$C$158:$L$158,1,MATCH("NEATITINKA",H50:Q50,0))&gt;$B$31,"Net Debt / EBITDA &gt; 5,5","DSCR &lt; 1,2")))))</f>
        <v/>
      </c>
      <c r="F50" s="21" t="str">
        <f>IF(C50="","",MAX('5A. Pagalbiniai skaičiavimai'!C158:L158))</f>
        <v/>
      </c>
      <c r="G50" s="21" t="str">
        <f>IF(C50="","",MIN('5A. Pagalbiniai skaičiavimai'!C159:L159))</f>
        <v/>
      </c>
      <c r="H50" s="19" t="e">
        <f>IF(OR($B50="",'5A. Pagalbiniai skaičiavimai'!C155="",'5A. Pagalbiniai skaičiavimai'!C158="",'5A. Pagalbiniai skaičiavimai'!C159=""),"",IF(AND('5A. Pagalbiniai skaičiavimai'!C155&gt;0,'5A. Pagalbiniai skaičiavimai'!C158&lt;=$B$31,'5A. Pagalbiniai skaičiavimai'!C159&gt;=$B$32),"ATITINKA","NEATITINKA"))</f>
        <v>#VALUE!</v>
      </c>
      <c r="I50" s="19" t="e">
        <f>IF(OR($B50="",'5A. Pagalbiniai skaičiavimai'!D155="",'5A. Pagalbiniai skaičiavimai'!D158="",'5A. Pagalbiniai skaičiavimai'!D159=""),"",IF(AND('5A. Pagalbiniai skaičiavimai'!D155&gt;0,'5A. Pagalbiniai skaičiavimai'!D158&lt;=$B$31,'5A. Pagalbiniai skaičiavimai'!D159&gt;=$B$32),"ATITINKA","NEATITINKA"))</f>
        <v>#VALUE!</v>
      </c>
      <c r="J50" s="19" t="e">
        <f>IF(OR($B50="",'5A. Pagalbiniai skaičiavimai'!E155="",'5A. Pagalbiniai skaičiavimai'!E158="",'5A. Pagalbiniai skaičiavimai'!E159=""),"",IF(AND('5A. Pagalbiniai skaičiavimai'!E155&gt;0,'5A. Pagalbiniai skaičiavimai'!E158&lt;=$B$31,'5A. Pagalbiniai skaičiavimai'!E159&gt;=$B$32),"ATITINKA","NEATITINKA"))</f>
        <v>#VALUE!</v>
      </c>
      <c r="K50" s="19" t="e">
        <f>IF(OR($B50="",'5A. Pagalbiniai skaičiavimai'!F155="",'5A. Pagalbiniai skaičiavimai'!F158="",'5A. Pagalbiniai skaičiavimai'!F159=""),"",IF(AND('5A. Pagalbiniai skaičiavimai'!F155&gt;0,'5A. Pagalbiniai skaičiavimai'!F158&lt;=$B$31,'5A. Pagalbiniai skaičiavimai'!F159&gt;=$B$32),"ATITINKA","NEATITINKA"))</f>
        <v>#VALUE!</v>
      </c>
      <c r="L50" s="19" t="e">
        <f>IF(OR($B50="",'5A. Pagalbiniai skaičiavimai'!G155="",'5A. Pagalbiniai skaičiavimai'!G158="",'5A. Pagalbiniai skaičiavimai'!G159=""),"",IF(AND('5A. Pagalbiniai skaičiavimai'!G155&gt;0,'5A. Pagalbiniai skaičiavimai'!G158&lt;=$B$31,'5A. Pagalbiniai skaičiavimai'!G159&gt;=$B$32),"ATITINKA","NEATITINKA"))</f>
        <v>#VALUE!</v>
      </c>
      <c r="M50" s="19" t="e">
        <f>IF(OR($B50="",'5A. Pagalbiniai skaičiavimai'!H155="",'5A. Pagalbiniai skaičiavimai'!H158="",'5A. Pagalbiniai skaičiavimai'!H159=""),"",IF(AND('5A. Pagalbiniai skaičiavimai'!H155&gt;0,'5A. Pagalbiniai skaičiavimai'!H158&lt;=$B$31,'5A. Pagalbiniai skaičiavimai'!H159&gt;=$B$32),"ATITINKA","NEATITINKA"))</f>
        <v>#VALUE!</v>
      </c>
      <c r="N50" s="19" t="e">
        <f>IF(OR($B50="",'5A. Pagalbiniai skaičiavimai'!I155="",'5A. Pagalbiniai skaičiavimai'!I158="",'5A. Pagalbiniai skaičiavimai'!I159=""),"",IF(AND('5A. Pagalbiniai skaičiavimai'!I155&gt;0,'5A. Pagalbiniai skaičiavimai'!I158&lt;=$B$31,'5A. Pagalbiniai skaičiavimai'!I159&gt;=$B$32),"ATITINKA","NEATITINKA"))</f>
        <v>#VALUE!</v>
      </c>
      <c r="O50" s="19" t="e">
        <f>IF(OR($B50="",'5A. Pagalbiniai skaičiavimai'!J155="",'5A. Pagalbiniai skaičiavimai'!J158="",'5A. Pagalbiniai skaičiavimai'!J159=""),"",IF(AND('5A. Pagalbiniai skaičiavimai'!J155&gt;0,'5A. Pagalbiniai skaičiavimai'!J158&lt;=$B$31,'5A. Pagalbiniai skaičiavimai'!J159&gt;=$B$32),"ATITINKA","NEATITINKA"))</f>
        <v>#VALUE!</v>
      </c>
      <c r="P50" s="19" t="e">
        <f>IF(OR($B50="",'5A. Pagalbiniai skaičiavimai'!K155="",'5A. Pagalbiniai skaičiavimai'!K158="",'5A. Pagalbiniai skaičiavimai'!K159=""),"",IF(AND('5A. Pagalbiniai skaičiavimai'!K155&gt;0,'5A. Pagalbiniai skaičiavimai'!K158&lt;=$B$31,'5A. Pagalbiniai skaičiavimai'!K159&gt;=$B$32),"ATITINKA","NEATITINKA"))</f>
        <v>#VALUE!</v>
      </c>
      <c r="Q50" s="19" t="e">
        <f>IF(OR($B50="",'5A. Pagalbiniai skaičiavimai'!L155="",'5A. Pagalbiniai skaičiavimai'!L158="",'5A. Pagalbiniai skaičiavimai'!L159=""),"",IF(AND('5A. Pagalbiniai skaičiavimai'!L155&gt;0,'5A. Pagalbiniai skaičiavimai'!L158&lt;=$B$31,'5A. Pagalbiniai skaičiavimai'!L159&gt;=$B$32),"ATITINKA","NEATITINKA"))</f>
        <v>#VALUE!</v>
      </c>
      <c r="R50" s="2"/>
      <c r="S50" s="2"/>
      <c r="T50" s="2"/>
    </row>
    <row r="51" spans="1:20">
      <c r="A51" s="19">
        <v>13</v>
      </c>
      <c r="B51" s="19" t="str">
        <f>IF(AND(COUNTA('2. Investicijos'!$B$5:$B$17)=13,COUNT('2. Investicijos'!$E$5:$E$17)=13,COUNT('2. Investicijos'!$F$5:$F$17)=13,COUNT('2. Investicijos'!$G$5:$G$17)=13,COUNT('2. Investicijos'!$H$5:$H$17)=13),'2. Investicijos'!B17,"")</f>
        <v/>
      </c>
      <c r="C51" s="19" t="str">
        <f>IF(OR(B51="",COUNT('3. Finansinės prielaidos'!$C$27:$L$32)&lt;60),"",IF(COUNTIF(H51:Q51,"ATITINKA")=10,"ATITINKA","NEATITINKA"))</f>
        <v/>
      </c>
      <c r="D51" s="19" t="str">
        <f t="shared" si="7"/>
        <v/>
      </c>
      <c r="E51" s="19" t="str">
        <f>IF(C51="","",IF(C51&lt;&gt;"NEATITINKA","–",IF(INDEX('5A. Pagalbiniai skaičiavimai'!$C$165:$L$165,1,MATCH("NEATITINKA",H51:Q51,0))&lt;=0,"EBITDA ≤ 0",IF(AND(INDEX('5A. Pagalbiniai skaičiavimai'!$C$168:$L$168,1,MATCH("NEATITINKA",H51:Q51,0))&gt;$B$31,INDEX('5A. Pagalbiniai skaičiavimai'!$C$169:$L$169,1,MATCH("NEATITINKA",H51:Q51,0))&lt;$B$32),"Abu kriterijai",IF(INDEX('5A. Pagalbiniai skaičiavimai'!$C$168:$L$168,1,MATCH("NEATITINKA",H51:Q51,0))&gt;$B$31,"Net Debt / EBITDA &gt; 5,5","DSCR &lt; 1,2")))))</f>
        <v/>
      </c>
      <c r="F51" s="21" t="str">
        <f>IF(C51="","",MAX('5A. Pagalbiniai skaičiavimai'!C168:L168))</f>
        <v/>
      </c>
      <c r="G51" s="21" t="str">
        <f>IF(C51="","",MIN('5A. Pagalbiniai skaičiavimai'!C169:L169))</f>
        <v/>
      </c>
      <c r="H51" s="19" t="e">
        <f>IF(OR($B51="",'5A. Pagalbiniai skaičiavimai'!C165="",'5A. Pagalbiniai skaičiavimai'!C168="",'5A. Pagalbiniai skaičiavimai'!C169=""),"",IF(AND('5A. Pagalbiniai skaičiavimai'!C165&gt;0,'5A. Pagalbiniai skaičiavimai'!C168&lt;=$B$31,'5A. Pagalbiniai skaičiavimai'!C169&gt;=$B$32),"ATITINKA","NEATITINKA"))</f>
        <v>#VALUE!</v>
      </c>
      <c r="I51" s="19" t="e">
        <f>IF(OR($B51="",'5A. Pagalbiniai skaičiavimai'!D165="",'5A. Pagalbiniai skaičiavimai'!D168="",'5A. Pagalbiniai skaičiavimai'!D169=""),"",IF(AND('5A. Pagalbiniai skaičiavimai'!D165&gt;0,'5A. Pagalbiniai skaičiavimai'!D168&lt;=$B$31,'5A. Pagalbiniai skaičiavimai'!D169&gt;=$B$32),"ATITINKA","NEATITINKA"))</f>
        <v>#VALUE!</v>
      </c>
      <c r="J51" s="19" t="e">
        <f>IF(OR($B51="",'5A. Pagalbiniai skaičiavimai'!E165="",'5A. Pagalbiniai skaičiavimai'!E168="",'5A. Pagalbiniai skaičiavimai'!E169=""),"",IF(AND('5A. Pagalbiniai skaičiavimai'!E165&gt;0,'5A. Pagalbiniai skaičiavimai'!E168&lt;=$B$31,'5A. Pagalbiniai skaičiavimai'!E169&gt;=$B$32),"ATITINKA","NEATITINKA"))</f>
        <v>#VALUE!</v>
      </c>
      <c r="K51" s="19" t="e">
        <f>IF(OR($B51="",'5A. Pagalbiniai skaičiavimai'!F165="",'5A. Pagalbiniai skaičiavimai'!F168="",'5A. Pagalbiniai skaičiavimai'!F169=""),"",IF(AND('5A. Pagalbiniai skaičiavimai'!F165&gt;0,'5A. Pagalbiniai skaičiavimai'!F168&lt;=$B$31,'5A. Pagalbiniai skaičiavimai'!F169&gt;=$B$32),"ATITINKA","NEATITINKA"))</f>
        <v>#VALUE!</v>
      </c>
      <c r="L51" s="19" t="e">
        <f>IF(OR($B51="",'5A. Pagalbiniai skaičiavimai'!G165="",'5A. Pagalbiniai skaičiavimai'!G168="",'5A. Pagalbiniai skaičiavimai'!G169=""),"",IF(AND('5A. Pagalbiniai skaičiavimai'!G165&gt;0,'5A. Pagalbiniai skaičiavimai'!G168&lt;=$B$31,'5A. Pagalbiniai skaičiavimai'!G169&gt;=$B$32),"ATITINKA","NEATITINKA"))</f>
        <v>#VALUE!</v>
      </c>
      <c r="M51" s="19" t="e">
        <f>IF(OR($B51="",'5A. Pagalbiniai skaičiavimai'!H165="",'5A. Pagalbiniai skaičiavimai'!H168="",'5A. Pagalbiniai skaičiavimai'!H169=""),"",IF(AND('5A. Pagalbiniai skaičiavimai'!H165&gt;0,'5A. Pagalbiniai skaičiavimai'!H168&lt;=$B$31,'5A. Pagalbiniai skaičiavimai'!H169&gt;=$B$32),"ATITINKA","NEATITINKA"))</f>
        <v>#VALUE!</v>
      </c>
      <c r="N51" s="19" t="e">
        <f>IF(OR($B51="",'5A. Pagalbiniai skaičiavimai'!I165="",'5A. Pagalbiniai skaičiavimai'!I168="",'5A. Pagalbiniai skaičiavimai'!I169=""),"",IF(AND('5A. Pagalbiniai skaičiavimai'!I165&gt;0,'5A. Pagalbiniai skaičiavimai'!I168&lt;=$B$31,'5A. Pagalbiniai skaičiavimai'!I169&gt;=$B$32),"ATITINKA","NEATITINKA"))</f>
        <v>#VALUE!</v>
      </c>
      <c r="O51" s="19" t="e">
        <f>IF(OR($B51="",'5A. Pagalbiniai skaičiavimai'!J165="",'5A. Pagalbiniai skaičiavimai'!J168="",'5A. Pagalbiniai skaičiavimai'!J169=""),"",IF(AND('5A. Pagalbiniai skaičiavimai'!J165&gt;0,'5A. Pagalbiniai skaičiavimai'!J168&lt;=$B$31,'5A. Pagalbiniai skaičiavimai'!J169&gt;=$B$32),"ATITINKA","NEATITINKA"))</f>
        <v>#VALUE!</v>
      </c>
      <c r="P51" s="19" t="e">
        <f>IF(OR($B51="",'5A. Pagalbiniai skaičiavimai'!K165="",'5A. Pagalbiniai skaičiavimai'!K168="",'5A. Pagalbiniai skaičiavimai'!K169=""),"",IF(AND('5A. Pagalbiniai skaičiavimai'!K165&gt;0,'5A. Pagalbiniai skaičiavimai'!K168&lt;=$B$31,'5A. Pagalbiniai skaičiavimai'!K169&gt;=$B$32),"ATITINKA","NEATITINKA"))</f>
        <v>#VALUE!</v>
      </c>
      <c r="Q51" s="19" t="e">
        <f>IF(OR($B51="",'5A. Pagalbiniai skaičiavimai'!L165="",'5A. Pagalbiniai skaičiavimai'!L168="",'5A. Pagalbiniai skaičiavimai'!L169=""),"",IF(AND('5A. Pagalbiniai skaičiavimai'!L165&gt;0,'5A. Pagalbiniai skaičiavimai'!L168&lt;=$B$31,'5A. Pagalbiniai skaičiavimai'!L169&gt;=$B$32),"ATITINKA","NEATITINKA"))</f>
        <v>#VALUE!</v>
      </c>
      <c r="R51" s="2"/>
      <c r="S51" s="2"/>
      <c r="T51" s="2"/>
    </row>
    <row r="52" spans="1:20">
      <c r="A52" s="19">
        <v>14</v>
      </c>
      <c r="B52" s="19" t="str">
        <f>IF(AND(COUNTA('2. Investicijos'!$B$5:$B$18)=14,COUNT('2. Investicijos'!$E$5:$E$18)=14,COUNT('2. Investicijos'!$F$5:$F$18)=14,COUNT('2. Investicijos'!$G$5:$G$18)=14,COUNT('2. Investicijos'!$H$5:$H$18)=14),'2. Investicijos'!B18,"")</f>
        <v/>
      </c>
      <c r="C52" s="19" t="str">
        <f>IF(OR(B52="",COUNT('3. Finansinės prielaidos'!$C$27:$L$32)&lt;60),"",IF(COUNTIF(H52:Q52,"ATITINKA")=10,"ATITINKA","NEATITINKA"))</f>
        <v/>
      </c>
      <c r="D52" s="19" t="str">
        <f t="shared" si="7"/>
        <v/>
      </c>
      <c r="E52" s="19" t="str">
        <f>IF(C52="","",IF(C52&lt;&gt;"NEATITINKA","–",IF(INDEX('5A. Pagalbiniai skaičiavimai'!$C$175:$L$175,1,MATCH("NEATITINKA",H52:Q52,0))&lt;=0,"EBITDA ≤ 0",IF(AND(INDEX('5A. Pagalbiniai skaičiavimai'!$C$178:$L$178,1,MATCH("NEATITINKA",H52:Q52,0))&gt;$B$31,INDEX('5A. Pagalbiniai skaičiavimai'!$C$179:$L$179,1,MATCH("NEATITINKA",H52:Q52,0))&lt;$B$32),"Abu kriterijai",IF(INDEX('5A. Pagalbiniai skaičiavimai'!$C$178:$L$178,1,MATCH("NEATITINKA",H52:Q52,0))&gt;$B$31,"Net Debt / EBITDA &gt; 5,5","DSCR &lt; 1,2")))))</f>
        <v/>
      </c>
      <c r="F52" s="21" t="str">
        <f>IF(C52="","",MAX('5A. Pagalbiniai skaičiavimai'!C178:L178))</f>
        <v/>
      </c>
      <c r="G52" s="21" t="str">
        <f>IF(C52="","",MIN('5A. Pagalbiniai skaičiavimai'!C179:L179))</f>
        <v/>
      </c>
      <c r="H52" s="19" t="e">
        <f>IF(OR($B52="",'5A. Pagalbiniai skaičiavimai'!C175="",'5A. Pagalbiniai skaičiavimai'!C178="",'5A. Pagalbiniai skaičiavimai'!C179=""),"",IF(AND('5A. Pagalbiniai skaičiavimai'!C175&gt;0,'5A. Pagalbiniai skaičiavimai'!C178&lt;=$B$31,'5A. Pagalbiniai skaičiavimai'!C179&gt;=$B$32),"ATITINKA","NEATITINKA"))</f>
        <v>#VALUE!</v>
      </c>
      <c r="I52" s="19" t="e">
        <f>IF(OR($B52="",'5A. Pagalbiniai skaičiavimai'!D175="",'5A. Pagalbiniai skaičiavimai'!D178="",'5A. Pagalbiniai skaičiavimai'!D179=""),"",IF(AND('5A. Pagalbiniai skaičiavimai'!D175&gt;0,'5A. Pagalbiniai skaičiavimai'!D178&lt;=$B$31,'5A. Pagalbiniai skaičiavimai'!D179&gt;=$B$32),"ATITINKA","NEATITINKA"))</f>
        <v>#VALUE!</v>
      </c>
      <c r="J52" s="19" t="e">
        <f>IF(OR($B52="",'5A. Pagalbiniai skaičiavimai'!E175="",'5A. Pagalbiniai skaičiavimai'!E178="",'5A. Pagalbiniai skaičiavimai'!E179=""),"",IF(AND('5A. Pagalbiniai skaičiavimai'!E175&gt;0,'5A. Pagalbiniai skaičiavimai'!E178&lt;=$B$31,'5A. Pagalbiniai skaičiavimai'!E179&gt;=$B$32),"ATITINKA","NEATITINKA"))</f>
        <v>#VALUE!</v>
      </c>
      <c r="K52" s="19" t="e">
        <f>IF(OR($B52="",'5A. Pagalbiniai skaičiavimai'!F175="",'5A. Pagalbiniai skaičiavimai'!F178="",'5A. Pagalbiniai skaičiavimai'!F179=""),"",IF(AND('5A. Pagalbiniai skaičiavimai'!F175&gt;0,'5A. Pagalbiniai skaičiavimai'!F178&lt;=$B$31,'5A. Pagalbiniai skaičiavimai'!F179&gt;=$B$32),"ATITINKA","NEATITINKA"))</f>
        <v>#VALUE!</v>
      </c>
      <c r="L52" s="19" t="e">
        <f>IF(OR($B52="",'5A. Pagalbiniai skaičiavimai'!G175="",'5A. Pagalbiniai skaičiavimai'!G178="",'5A. Pagalbiniai skaičiavimai'!G179=""),"",IF(AND('5A. Pagalbiniai skaičiavimai'!G175&gt;0,'5A. Pagalbiniai skaičiavimai'!G178&lt;=$B$31,'5A. Pagalbiniai skaičiavimai'!G179&gt;=$B$32),"ATITINKA","NEATITINKA"))</f>
        <v>#VALUE!</v>
      </c>
      <c r="M52" s="19" t="e">
        <f>IF(OR($B52="",'5A. Pagalbiniai skaičiavimai'!H175="",'5A. Pagalbiniai skaičiavimai'!H178="",'5A. Pagalbiniai skaičiavimai'!H179=""),"",IF(AND('5A. Pagalbiniai skaičiavimai'!H175&gt;0,'5A. Pagalbiniai skaičiavimai'!H178&lt;=$B$31,'5A. Pagalbiniai skaičiavimai'!H179&gt;=$B$32),"ATITINKA","NEATITINKA"))</f>
        <v>#VALUE!</v>
      </c>
      <c r="N52" s="19" t="e">
        <f>IF(OR($B52="",'5A. Pagalbiniai skaičiavimai'!I175="",'5A. Pagalbiniai skaičiavimai'!I178="",'5A. Pagalbiniai skaičiavimai'!I179=""),"",IF(AND('5A. Pagalbiniai skaičiavimai'!I175&gt;0,'5A. Pagalbiniai skaičiavimai'!I178&lt;=$B$31,'5A. Pagalbiniai skaičiavimai'!I179&gt;=$B$32),"ATITINKA","NEATITINKA"))</f>
        <v>#VALUE!</v>
      </c>
      <c r="O52" s="19" t="e">
        <f>IF(OR($B52="",'5A. Pagalbiniai skaičiavimai'!J175="",'5A. Pagalbiniai skaičiavimai'!J178="",'5A. Pagalbiniai skaičiavimai'!J179=""),"",IF(AND('5A. Pagalbiniai skaičiavimai'!J175&gt;0,'5A. Pagalbiniai skaičiavimai'!J178&lt;=$B$31,'5A. Pagalbiniai skaičiavimai'!J179&gt;=$B$32),"ATITINKA","NEATITINKA"))</f>
        <v>#VALUE!</v>
      </c>
      <c r="P52" s="19" t="e">
        <f>IF(OR($B52="",'5A. Pagalbiniai skaičiavimai'!K175="",'5A. Pagalbiniai skaičiavimai'!K178="",'5A. Pagalbiniai skaičiavimai'!K179=""),"",IF(AND('5A. Pagalbiniai skaičiavimai'!K175&gt;0,'5A. Pagalbiniai skaičiavimai'!K178&lt;=$B$31,'5A. Pagalbiniai skaičiavimai'!K179&gt;=$B$32),"ATITINKA","NEATITINKA"))</f>
        <v>#VALUE!</v>
      </c>
      <c r="Q52" s="19" t="e">
        <f>IF(OR($B52="",'5A. Pagalbiniai skaičiavimai'!L175="",'5A. Pagalbiniai skaičiavimai'!L178="",'5A. Pagalbiniai skaičiavimai'!L179=""),"",IF(AND('5A. Pagalbiniai skaičiavimai'!L175&gt;0,'5A. Pagalbiniai skaičiavimai'!L178&lt;=$B$31,'5A. Pagalbiniai skaičiavimai'!L179&gt;=$B$32),"ATITINKA","NEATITINKA"))</f>
        <v>#VALUE!</v>
      </c>
      <c r="R52" s="2"/>
      <c r="S52" s="2"/>
      <c r="T52" s="2"/>
    </row>
    <row r="53" spans="1:20">
      <c r="A53" s="19">
        <v>15</v>
      </c>
      <c r="B53" s="19" t="str">
        <f>IF(AND(COUNTA('2. Investicijos'!$B$5:$B$19)=15,COUNT('2. Investicijos'!$E$5:$E$19)=15,COUNT('2. Investicijos'!$F$5:$F$19)=15,COUNT('2. Investicijos'!$G$5:$G$19)=15,COUNT('2. Investicijos'!$H$5:$H$19)=15),'2. Investicijos'!B19,"")</f>
        <v/>
      </c>
      <c r="C53" s="19" t="str">
        <f>IF(OR(B53="",COUNT('3. Finansinės prielaidos'!$C$27:$L$32)&lt;60),"",IF(COUNTIF(H53:Q53,"ATITINKA")=10,"ATITINKA","NEATITINKA"))</f>
        <v/>
      </c>
      <c r="D53" s="19" t="str">
        <f t="shared" si="7"/>
        <v/>
      </c>
      <c r="E53" s="19" t="str">
        <f>IF(C53="","",IF(C53&lt;&gt;"NEATITINKA","–",IF(INDEX('5A. Pagalbiniai skaičiavimai'!$C$185:$L$185,1,MATCH("NEATITINKA",H53:Q53,0))&lt;=0,"EBITDA ≤ 0",IF(AND(INDEX('5A. Pagalbiniai skaičiavimai'!$C$188:$L$188,1,MATCH("NEATITINKA",H53:Q53,0))&gt;$B$31,INDEX('5A. Pagalbiniai skaičiavimai'!$C$189:$L$189,1,MATCH("NEATITINKA",H53:Q53,0))&lt;$B$32),"Abu kriterijai",IF(INDEX('5A. Pagalbiniai skaičiavimai'!$C$188:$L$188,1,MATCH("NEATITINKA",H53:Q53,0))&gt;$B$31,"Net Debt / EBITDA &gt; 5,5","DSCR &lt; 1,2")))))</f>
        <v/>
      </c>
      <c r="F53" s="21" t="str">
        <f>IF(C53="","",MAX('5A. Pagalbiniai skaičiavimai'!C188:L188))</f>
        <v/>
      </c>
      <c r="G53" s="21" t="str">
        <f>IF(C53="","",MIN('5A. Pagalbiniai skaičiavimai'!C189:L189))</f>
        <v/>
      </c>
      <c r="H53" s="19" t="e">
        <f>IF(OR($B53="",'5A. Pagalbiniai skaičiavimai'!C185="",'5A. Pagalbiniai skaičiavimai'!C188="",'5A. Pagalbiniai skaičiavimai'!C189=""),"",IF(AND('5A. Pagalbiniai skaičiavimai'!C185&gt;0,'5A. Pagalbiniai skaičiavimai'!C188&lt;=$B$31,'5A. Pagalbiniai skaičiavimai'!C189&gt;=$B$32),"ATITINKA","NEATITINKA"))</f>
        <v>#VALUE!</v>
      </c>
      <c r="I53" s="19" t="e">
        <f>IF(OR($B53="",'5A. Pagalbiniai skaičiavimai'!D185="",'5A. Pagalbiniai skaičiavimai'!D188="",'5A. Pagalbiniai skaičiavimai'!D189=""),"",IF(AND('5A. Pagalbiniai skaičiavimai'!D185&gt;0,'5A. Pagalbiniai skaičiavimai'!D188&lt;=$B$31,'5A. Pagalbiniai skaičiavimai'!D189&gt;=$B$32),"ATITINKA","NEATITINKA"))</f>
        <v>#VALUE!</v>
      </c>
      <c r="J53" s="19" t="e">
        <f>IF(OR($B53="",'5A. Pagalbiniai skaičiavimai'!E185="",'5A. Pagalbiniai skaičiavimai'!E188="",'5A. Pagalbiniai skaičiavimai'!E189=""),"",IF(AND('5A. Pagalbiniai skaičiavimai'!E185&gt;0,'5A. Pagalbiniai skaičiavimai'!E188&lt;=$B$31,'5A. Pagalbiniai skaičiavimai'!E189&gt;=$B$32),"ATITINKA","NEATITINKA"))</f>
        <v>#VALUE!</v>
      </c>
      <c r="K53" s="19" t="e">
        <f>IF(OR($B53="",'5A. Pagalbiniai skaičiavimai'!F185="",'5A. Pagalbiniai skaičiavimai'!F188="",'5A. Pagalbiniai skaičiavimai'!F189=""),"",IF(AND('5A. Pagalbiniai skaičiavimai'!F185&gt;0,'5A. Pagalbiniai skaičiavimai'!F188&lt;=$B$31,'5A. Pagalbiniai skaičiavimai'!F189&gt;=$B$32),"ATITINKA","NEATITINKA"))</f>
        <v>#VALUE!</v>
      </c>
      <c r="L53" s="19" t="e">
        <f>IF(OR($B53="",'5A. Pagalbiniai skaičiavimai'!G185="",'5A. Pagalbiniai skaičiavimai'!G188="",'5A. Pagalbiniai skaičiavimai'!G189=""),"",IF(AND('5A. Pagalbiniai skaičiavimai'!G185&gt;0,'5A. Pagalbiniai skaičiavimai'!G188&lt;=$B$31,'5A. Pagalbiniai skaičiavimai'!G189&gt;=$B$32),"ATITINKA","NEATITINKA"))</f>
        <v>#VALUE!</v>
      </c>
      <c r="M53" s="19" t="e">
        <f>IF(OR($B53="",'5A. Pagalbiniai skaičiavimai'!H185="",'5A. Pagalbiniai skaičiavimai'!H188="",'5A. Pagalbiniai skaičiavimai'!H189=""),"",IF(AND('5A. Pagalbiniai skaičiavimai'!H185&gt;0,'5A. Pagalbiniai skaičiavimai'!H188&lt;=$B$31,'5A. Pagalbiniai skaičiavimai'!H189&gt;=$B$32),"ATITINKA","NEATITINKA"))</f>
        <v>#VALUE!</v>
      </c>
      <c r="N53" s="19" t="e">
        <f>IF(OR($B53="",'5A. Pagalbiniai skaičiavimai'!I185="",'5A. Pagalbiniai skaičiavimai'!I188="",'5A. Pagalbiniai skaičiavimai'!I189=""),"",IF(AND('5A. Pagalbiniai skaičiavimai'!I185&gt;0,'5A. Pagalbiniai skaičiavimai'!I188&lt;=$B$31,'5A. Pagalbiniai skaičiavimai'!I189&gt;=$B$32),"ATITINKA","NEATITINKA"))</f>
        <v>#VALUE!</v>
      </c>
      <c r="O53" s="19" t="e">
        <f>IF(OR($B53="",'5A. Pagalbiniai skaičiavimai'!J185="",'5A. Pagalbiniai skaičiavimai'!J188="",'5A. Pagalbiniai skaičiavimai'!J189=""),"",IF(AND('5A. Pagalbiniai skaičiavimai'!J185&gt;0,'5A. Pagalbiniai skaičiavimai'!J188&lt;=$B$31,'5A. Pagalbiniai skaičiavimai'!J189&gt;=$B$32),"ATITINKA","NEATITINKA"))</f>
        <v>#VALUE!</v>
      </c>
      <c r="P53" s="19" t="e">
        <f>IF(OR($B53="",'5A. Pagalbiniai skaičiavimai'!K185="",'5A. Pagalbiniai skaičiavimai'!K188="",'5A. Pagalbiniai skaičiavimai'!K189=""),"",IF(AND('5A. Pagalbiniai skaičiavimai'!K185&gt;0,'5A. Pagalbiniai skaičiavimai'!K188&lt;=$B$31,'5A. Pagalbiniai skaičiavimai'!K189&gt;=$B$32),"ATITINKA","NEATITINKA"))</f>
        <v>#VALUE!</v>
      </c>
      <c r="Q53" s="19" t="e">
        <f>IF(OR($B53="",'5A. Pagalbiniai skaičiavimai'!L185="",'5A. Pagalbiniai skaičiavimai'!L188="",'5A. Pagalbiniai skaičiavimai'!L189=""),"",IF(AND('5A. Pagalbiniai skaičiavimai'!L185&gt;0,'5A. Pagalbiniai skaičiavimai'!L188&lt;=$B$31,'5A. Pagalbiniai skaičiavimai'!L189&gt;=$B$32),"ATITINKA","NEATITINKA"))</f>
        <v>#VALUE!</v>
      </c>
      <c r="R53" s="2"/>
      <c r="S53" s="2"/>
      <c r="T53" s="2"/>
    </row>
    <row r="54" spans="1:20">
      <c r="A54" s="19">
        <v>16</v>
      </c>
      <c r="B54" s="19" t="str">
        <f>IF(AND(COUNTA('2. Investicijos'!$B$5:$B$20)=16,COUNT('2. Investicijos'!$E$5:$E$20)=16,COUNT('2. Investicijos'!$F$5:$F$20)=16,COUNT('2. Investicijos'!$G$5:$G$20)=16,COUNT('2. Investicijos'!$H$5:$H$20)=16),'2. Investicijos'!B20,"")</f>
        <v/>
      </c>
      <c r="C54" s="19" t="str">
        <f>IF(OR(B54="",COUNT('3. Finansinės prielaidos'!$C$27:$L$32)&lt;60),"",IF(COUNTIF(H54:Q54,"ATITINKA")=10,"ATITINKA","NEATITINKA"))</f>
        <v/>
      </c>
      <c r="D54" s="19" t="str">
        <f t="shared" si="7"/>
        <v/>
      </c>
      <c r="E54" s="19" t="str">
        <f>IF(C54="","",IF(C54&lt;&gt;"NEATITINKA","–",IF(INDEX('5A. Pagalbiniai skaičiavimai'!$C$195:$L$195,1,MATCH("NEATITINKA",H54:Q54,0))&lt;=0,"EBITDA ≤ 0",IF(AND(INDEX('5A. Pagalbiniai skaičiavimai'!$C$198:$L$198,1,MATCH("NEATITINKA",H54:Q54,0))&gt;$B$31,INDEX('5A. Pagalbiniai skaičiavimai'!$C$199:$L$199,1,MATCH("NEATITINKA",H54:Q54,0))&lt;$B$32),"Abu kriterijai",IF(INDEX('5A. Pagalbiniai skaičiavimai'!$C$198:$L$198,1,MATCH("NEATITINKA",H54:Q54,0))&gt;$B$31,"Net Debt / EBITDA &gt; 5,5","DSCR &lt; 1,2")))))</f>
        <v/>
      </c>
      <c r="F54" s="21" t="str">
        <f>IF(C54="","",MAX('5A. Pagalbiniai skaičiavimai'!C198:L198))</f>
        <v/>
      </c>
      <c r="G54" s="21" t="str">
        <f>IF(C54="","",MIN('5A. Pagalbiniai skaičiavimai'!C199:L199))</f>
        <v/>
      </c>
      <c r="H54" s="19" t="e">
        <f>IF(OR($B54="",'5A. Pagalbiniai skaičiavimai'!C195="",'5A. Pagalbiniai skaičiavimai'!C198="",'5A. Pagalbiniai skaičiavimai'!C199=""),"",IF(AND('5A. Pagalbiniai skaičiavimai'!C195&gt;0,'5A. Pagalbiniai skaičiavimai'!C198&lt;=$B$31,'5A. Pagalbiniai skaičiavimai'!C199&gt;=$B$32),"ATITINKA","NEATITINKA"))</f>
        <v>#VALUE!</v>
      </c>
      <c r="I54" s="19" t="e">
        <f>IF(OR($B54="",'5A. Pagalbiniai skaičiavimai'!D195="",'5A. Pagalbiniai skaičiavimai'!D198="",'5A. Pagalbiniai skaičiavimai'!D199=""),"",IF(AND('5A. Pagalbiniai skaičiavimai'!D195&gt;0,'5A. Pagalbiniai skaičiavimai'!D198&lt;=$B$31,'5A. Pagalbiniai skaičiavimai'!D199&gt;=$B$32),"ATITINKA","NEATITINKA"))</f>
        <v>#VALUE!</v>
      </c>
      <c r="J54" s="19" t="e">
        <f>IF(OR($B54="",'5A. Pagalbiniai skaičiavimai'!E195="",'5A. Pagalbiniai skaičiavimai'!E198="",'5A. Pagalbiniai skaičiavimai'!E199=""),"",IF(AND('5A. Pagalbiniai skaičiavimai'!E195&gt;0,'5A. Pagalbiniai skaičiavimai'!E198&lt;=$B$31,'5A. Pagalbiniai skaičiavimai'!E199&gt;=$B$32),"ATITINKA","NEATITINKA"))</f>
        <v>#VALUE!</v>
      </c>
      <c r="K54" s="19" t="e">
        <f>IF(OR($B54="",'5A. Pagalbiniai skaičiavimai'!F195="",'5A. Pagalbiniai skaičiavimai'!F198="",'5A. Pagalbiniai skaičiavimai'!F199=""),"",IF(AND('5A. Pagalbiniai skaičiavimai'!F195&gt;0,'5A. Pagalbiniai skaičiavimai'!F198&lt;=$B$31,'5A. Pagalbiniai skaičiavimai'!F199&gt;=$B$32),"ATITINKA","NEATITINKA"))</f>
        <v>#VALUE!</v>
      </c>
      <c r="L54" s="19" t="e">
        <f>IF(OR($B54="",'5A. Pagalbiniai skaičiavimai'!G195="",'5A. Pagalbiniai skaičiavimai'!G198="",'5A. Pagalbiniai skaičiavimai'!G199=""),"",IF(AND('5A. Pagalbiniai skaičiavimai'!G195&gt;0,'5A. Pagalbiniai skaičiavimai'!G198&lt;=$B$31,'5A. Pagalbiniai skaičiavimai'!G199&gt;=$B$32),"ATITINKA","NEATITINKA"))</f>
        <v>#VALUE!</v>
      </c>
      <c r="M54" s="19" t="e">
        <f>IF(OR($B54="",'5A. Pagalbiniai skaičiavimai'!H195="",'5A. Pagalbiniai skaičiavimai'!H198="",'5A. Pagalbiniai skaičiavimai'!H199=""),"",IF(AND('5A. Pagalbiniai skaičiavimai'!H195&gt;0,'5A. Pagalbiniai skaičiavimai'!H198&lt;=$B$31,'5A. Pagalbiniai skaičiavimai'!H199&gt;=$B$32),"ATITINKA","NEATITINKA"))</f>
        <v>#VALUE!</v>
      </c>
      <c r="N54" s="19" t="e">
        <f>IF(OR($B54="",'5A. Pagalbiniai skaičiavimai'!I195="",'5A. Pagalbiniai skaičiavimai'!I198="",'5A. Pagalbiniai skaičiavimai'!I199=""),"",IF(AND('5A. Pagalbiniai skaičiavimai'!I195&gt;0,'5A. Pagalbiniai skaičiavimai'!I198&lt;=$B$31,'5A. Pagalbiniai skaičiavimai'!I199&gt;=$B$32),"ATITINKA","NEATITINKA"))</f>
        <v>#VALUE!</v>
      </c>
      <c r="O54" s="19" t="e">
        <f>IF(OR($B54="",'5A. Pagalbiniai skaičiavimai'!J195="",'5A. Pagalbiniai skaičiavimai'!J198="",'5A. Pagalbiniai skaičiavimai'!J199=""),"",IF(AND('5A. Pagalbiniai skaičiavimai'!J195&gt;0,'5A. Pagalbiniai skaičiavimai'!J198&lt;=$B$31,'5A. Pagalbiniai skaičiavimai'!J199&gt;=$B$32),"ATITINKA","NEATITINKA"))</f>
        <v>#VALUE!</v>
      </c>
      <c r="P54" s="19" t="e">
        <f>IF(OR($B54="",'5A. Pagalbiniai skaičiavimai'!K195="",'5A. Pagalbiniai skaičiavimai'!K198="",'5A. Pagalbiniai skaičiavimai'!K199=""),"",IF(AND('5A. Pagalbiniai skaičiavimai'!K195&gt;0,'5A. Pagalbiniai skaičiavimai'!K198&lt;=$B$31,'5A. Pagalbiniai skaičiavimai'!K199&gt;=$B$32),"ATITINKA","NEATITINKA"))</f>
        <v>#VALUE!</v>
      </c>
      <c r="Q54" s="19" t="e">
        <f>IF(OR($B54="",'5A. Pagalbiniai skaičiavimai'!L195="",'5A. Pagalbiniai skaičiavimai'!L198="",'5A. Pagalbiniai skaičiavimai'!L199=""),"",IF(AND('5A. Pagalbiniai skaičiavimai'!L195&gt;0,'5A. Pagalbiniai skaičiavimai'!L198&lt;=$B$31,'5A. Pagalbiniai skaičiavimai'!L199&gt;=$B$32),"ATITINKA","NEATITINKA"))</f>
        <v>#VALUE!</v>
      </c>
      <c r="R54" s="2"/>
      <c r="S54" s="2"/>
      <c r="T54" s="2"/>
    </row>
    <row r="55" spans="1:20">
      <c r="A55" s="19">
        <v>17</v>
      </c>
      <c r="B55" s="19" t="str">
        <f>IF(AND(COUNTA('2. Investicijos'!$B$5:$B$21)=17,COUNT('2. Investicijos'!$E$5:$E$21)=17,COUNT('2. Investicijos'!$F$5:$F$21)=17,COUNT('2. Investicijos'!$G$5:$G$21)=17,COUNT('2. Investicijos'!$H$5:$H$21)=17),'2. Investicijos'!B21,"")</f>
        <v/>
      </c>
      <c r="C55" s="19" t="str">
        <f>IF(OR(B55="",COUNT('3. Finansinės prielaidos'!$C$27:$L$32)&lt;60),"",IF(COUNTIF(H55:Q55,"ATITINKA")=10,"ATITINKA","NEATITINKA"))</f>
        <v/>
      </c>
      <c r="D55" s="19" t="str">
        <f t="shared" si="7"/>
        <v/>
      </c>
      <c r="E55" s="19" t="str">
        <f>IF(C55="","",IF(C55&lt;&gt;"NEATITINKA","–",IF(INDEX('5A. Pagalbiniai skaičiavimai'!$C$205:$L$205,1,MATCH("NEATITINKA",H55:Q55,0))&lt;=0,"EBITDA ≤ 0",IF(AND(INDEX('5A. Pagalbiniai skaičiavimai'!$C$208:$L$208,1,MATCH("NEATITINKA",H55:Q55,0))&gt;$B$31,INDEX('5A. Pagalbiniai skaičiavimai'!$C$209:$L$209,1,MATCH("NEATITINKA",H55:Q55,0))&lt;$B$32),"Abu kriterijai",IF(INDEX('5A. Pagalbiniai skaičiavimai'!$C$208:$L$208,1,MATCH("NEATITINKA",H55:Q55,0))&gt;$B$31,"Net Debt / EBITDA &gt; 5,5","DSCR &lt; 1,2")))))</f>
        <v/>
      </c>
      <c r="F55" s="21" t="str">
        <f>IF(C55="","",MAX('5A. Pagalbiniai skaičiavimai'!C208:L208))</f>
        <v/>
      </c>
      <c r="G55" s="21" t="str">
        <f>IF(C55="","",MIN('5A. Pagalbiniai skaičiavimai'!C209:L209))</f>
        <v/>
      </c>
      <c r="H55" s="19" t="e">
        <f>IF(OR($B55="",'5A. Pagalbiniai skaičiavimai'!C205="",'5A. Pagalbiniai skaičiavimai'!C208="",'5A. Pagalbiniai skaičiavimai'!C209=""),"",IF(AND('5A. Pagalbiniai skaičiavimai'!C205&gt;0,'5A. Pagalbiniai skaičiavimai'!C208&lt;=$B$31,'5A. Pagalbiniai skaičiavimai'!C209&gt;=$B$32),"ATITINKA","NEATITINKA"))</f>
        <v>#VALUE!</v>
      </c>
      <c r="I55" s="19" t="e">
        <f>IF(OR($B55="",'5A. Pagalbiniai skaičiavimai'!D205="",'5A. Pagalbiniai skaičiavimai'!D208="",'5A. Pagalbiniai skaičiavimai'!D209=""),"",IF(AND('5A. Pagalbiniai skaičiavimai'!D205&gt;0,'5A. Pagalbiniai skaičiavimai'!D208&lt;=$B$31,'5A. Pagalbiniai skaičiavimai'!D209&gt;=$B$32),"ATITINKA","NEATITINKA"))</f>
        <v>#VALUE!</v>
      </c>
      <c r="J55" s="19" t="e">
        <f>IF(OR($B55="",'5A. Pagalbiniai skaičiavimai'!E205="",'5A. Pagalbiniai skaičiavimai'!E208="",'5A. Pagalbiniai skaičiavimai'!E209=""),"",IF(AND('5A. Pagalbiniai skaičiavimai'!E205&gt;0,'5A. Pagalbiniai skaičiavimai'!E208&lt;=$B$31,'5A. Pagalbiniai skaičiavimai'!E209&gt;=$B$32),"ATITINKA","NEATITINKA"))</f>
        <v>#VALUE!</v>
      </c>
      <c r="K55" s="19" t="e">
        <f>IF(OR($B55="",'5A. Pagalbiniai skaičiavimai'!F205="",'5A. Pagalbiniai skaičiavimai'!F208="",'5A. Pagalbiniai skaičiavimai'!F209=""),"",IF(AND('5A. Pagalbiniai skaičiavimai'!F205&gt;0,'5A. Pagalbiniai skaičiavimai'!F208&lt;=$B$31,'5A. Pagalbiniai skaičiavimai'!F209&gt;=$B$32),"ATITINKA","NEATITINKA"))</f>
        <v>#VALUE!</v>
      </c>
      <c r="L55" s="19" t="e">
        <f>IF(OR($B55="",'5A. Pagalbiniai skaičiavimai'!G205="",'5A. Pagalbiniai skaičiavimai'!G208="",'5A. Pagalbiniai skaičiavimai'!G209=""),"",IF(AND('5A. Pagalbiniai skaičiavimai'!G205&gt;0,'5A. Pagalbiniai skaičiavimai'!G208&lt;=$B$31,'5A. Pagalbiniai skaičiavimai'!G209&gt;=$B$32),"ATITINKA","NEATITINKA"))</f>
        <v>#VALUE!</v>
      </c>
      <c r="M55" s="19" t="e">
        <f>IF(OR($B55="",'5A. Pagalbiniai skaičiavimai'!H205="",'5A. Pagalbiniai skaičiavimai'!H208="",'5A. Pagalbiniai skaičiavimai'!H209=""),"",IF(AND('5A. Pagalbiniai skaičiavimai'!H205&gt;0,'5A. Pagalbiniai skaičiavimai'!H208&lt;=$B$31,'5A. Pagalbiniai skaičiavimai'!H209&gt;=$B$32),"ATITINKA","NEATITINKA"))</f>
        <v>#VALUE!</v>
      </c>
      <c r="N55" s="19" t="e">
        <f>IF(OR($B55="",'5A. Pagalbiniai skaičiavimai'!I205="",'5A. Pagalbiniai skaičiavimai'!I208="",'5A. Pagalbiniai skaičiavimai'!I209=""),"",IF(AND('5A. Pagalbiniai skaičiavimai'!I205&gt;0,'5A. Pagalbiniai skaičiavimai'!I208&lt;=$B$31,'5A. Pagalbiniai skaičiavimai'!I209&gt;=$B$32),"ATITINKA","NEATITINKA"))</f>
        <v>#VALUE!</v>
      </c>
      <c r="O55" s="19" t="e">
        <f>IF(OR($B55="",'5A. Pagalbiniai skaičiavimai'!J205="",'5A. Pagalbiniai skaičiavimai'!J208="",'5A. Pagalbiniai skaičiavimai'!J209=""),"",IF(AND('5A. Pagalbiniai skaičiavimai'!J205&gt;0,'5A. Pagalbiniai skaičiavimai'!J208&lt;=$B$31,'5A. Pagalbiniai skaičiavimai'!J209&gt;=$B$32),"ATITINKA","NEATITINKA"))</f>
        <v>#VALUE!</v>
      </c>
      <c r="P55" s="19" t="e">
        <f>IF(OR($B55="",'5A. Pagalbiniai skaičiavimai'!K205="",'5A. Pagalbiniai skaičiavimai'!K208="",'5A. Pagalbiniai skaičiavimai'!K209=""),"",IF(AND('5A. Pagalbiniai skaičiavimai'!K205&gt;0,'5A. Pagalbiniai skaičiavimai'!K208&lt;=$B$31,'5A. Pagalbiniai skaičiavimai'!K209&gt;=$B$32),"ATITINKA","NEATITINKA"))</f>
        <v>#VALUE!</v>
      </c>
      <c r="Q55" s="19" t="e">
        <f>IF(OR($B55="",'5A. Pagalbiniai skaičiavimai'!L205="",'5A. Pagalbiniai skaičiavimai'!L208="",'5A. Pagalbiniai skaičiavimai'!L209=""),"",IF(AND('5A. Pagalbiniai skaičiavimai'!L205&gt;0,'5A. Pagalbiniai skaičiavimai'!L208&lt;=$B$31,'5A. Pagalbiniai skaičiavimai'!L209&gt;=$B$32),"ATITINKA","NEATITINKA"))</f>
        <v>#VALUE!</v>
      </c>
      <c r="R55" s="2"/>
      <c r="S55" s="2"/>
      <c r="T55" s="2"/>
    </row>
    <row r="56" spans="1:20">
      <c r="A56" s="19">
        <v>18</v>
      </c>
      <c r="B56" s="19" t="str">
        <f>IF(AND(COUNTA('2. Investicijos'!$B$5:$B$22)=18,COUNT('2. Investicijos'!$E$5:$E$22)=18,COUNT('2. Investicijos'!$F$5:$F$22)=18,COUNT('2. Investicijos'!$G$5:$G$22)=18,COUNT('2. Investicijos'!$H$5:$H$22)=18),'2. Investicijos'!B22,"")</f>
        <v/>
      </c>
      <c r="C56" s="19" t="str">
        <f>IF(OR(B56="",COUNT('3. Finansinės prielaidos'!$C$27:$L$32)&lt;60),"",IF(COUNTIF(H56:Q56,"ATITINKA")=10,"ATITINKA","NEATITINKA"))</f>
        <v/>
      </c>
      <c r="D56" s="19" t="str">
        <f t="shared" si="7"/>
        <v/>
      </c>
      <c r="E56" s="19" t="str">
        <f>IF(C56="","",IF(C56&lt;&gt;"NEATITINKA","–",IF(INDEX('5A. Pagalbiniai skaičiavimai'!$C$215:$L$215,1,MATCH("NEATITINKA",H56:Q56,0))&lt;=0,"EBITDA ≤ 0",IF(AND(INDEX('5A. Pagalbiniai skaičiavimai'!$C$218:$L$218,1,MATCH("NEATITINKA",H56:Q56,0))&gt;$B$31,INDEX('5A. Pagalbiniai skaičiavimai'!$C$219:$L$219,1,MATCH("NEATITINKA",H56:Q56,0))&lt;$B$32),"Abu kriterijai",IF(INDEX('5A. Pagalbiniai skaičiavimai'!$C$218:$L$218,1,MATCH("NEATITINKA",H56:Q56,0))&gt;$B$31,"Net Debt / EBITDA &gt; 5,5","DSCR &lt; 1,2")))))</f>
        <v/>
      </c>
      <c r="F56" s="21" t="str">
        <f>IF(C56="","",MAX('5A. Pagalbiniai skaičiavimai'!C218:L218))</f>
        <v/>
      </c>
      <c r="G56" s="21" t="str">
        <f>IF(C56="","",MIN('5A. Pagalbiniai skaičiavimai'!C219:L219))</f>
        <v/>
      </c>
      <c r="H56" s="19" t="e">
        <f>IF(OR($B56="",'5A. Pagalbiniai skaičiavimai'!C215="",'5A. Pagalbiniai skaičiavimai'!C218="",'5A. Pagalbiniai skaičiavimai'!C219=""),"",IF(AND('5A. Pagalbiniai skaičiavimai'!C215&gt;0,'5A. Pagalbiniai skaičiavimai'!C218&lt;=$B$31,'5A. Pagalbiniai skaičiavimai'!C219&gt;=$B$32),"ATITINKA","NEATITINKA"))</f>
        <v>#VALUE!</v>
      </c>
      <c r="I56" s="19" t="e">
        <f>IF(OR($B56="",'5A. Pagalbiniai skaičiavimai'!D215="",'5A. Pagalbiniai skaičiavimai'!D218="",'5A. Pagalbiniai skaičiavimai'!D219=""),"",IF(AND('5A. Pagalbiniai skaičiavimai'!D215&gt;0,'5A. Pagalbiniai skaičiavimai'!D218&lt;=$B$31,'5A. Pagalbiniai skaičiavimai'!D219&gt;=$B$32),"ATITINKA","NEATITINKA"))</f>
        <v>#VALUE!</v>
      </c>
      <c r="J56" s="19" t="e">
        <f>IF(OR($B56="",'5A. Pagalbiniai skaičiavimai'!E215="",'5A. Pagalbiniai skaičiavimai'!E218="",'5A. Pagalbiniai skaičiavimai'!E219=""),"",IF(AND('5A. Pagalbiniai skaičiavimai'!E215&gt;0,'5A. Pagalbiniai skaičiavimai'!E218&lt;=$B$31,'5A. Pagalbiniai skaičiavimai'!E219&gt;=$B$32),"ATITINKA","NEATITINKA"))</f>
        <v>#VALUE!</v>
      </c>
      <c r="K56" s="19" t="e">
        <f>IF(OR($B56="",'5A. Pagalbiniai skaičiavimai'!F215="",'5A. Pagalbiniai skaičiavimai'!F218="",'5A. Pagalbiniai skaičiavimai'!F219=""),"",IF(AND('5A. Pagalbiniai skaičiavimai'!F215&gt;0,'5A. Pagalbiniai skaičiavimai'!F218&lt;=$B$31,'5A. Pagalbiniai skaičiavimai'!F219&gt;=$B$32),"ATITINKA","NEATITINKA"))</f>
        <v>#VALUE!</v>
      </c>
      <c r="L56" s="19" t="e">
        <f>IF(OR($B56="",'5A. Pagalbiniai skaičiavimai'!G215="",'5A. Pagalbiniai skaičiavimai'!G218="",'5A. Pagalbiniai skaičiavimai'!G219=""),"",IF(AND('5A. Pagalbiniai skaičiavimai'!G215&gt;0,'5A. Pagalbiniai skaičiavimai'!G218&lt;=$B$31,'5A. Pagalbiniai skaičiavimai'!G219&gt;=$B$32),"ATITINKA","NEATITINKA"))</f>
        <v>#VALUE!</v>
      </c>
      <c r="M56" s="19" t="e">
        <f>IF(OR($B56="",'5A. Pagalbiniai skaičiavimai'!H215="",'5A. Pagalbiniai skaičiavimai'!H218="",'5A. Pagalbiniai skaičiavimai'!H219=""),"",IF(AND('5A. Pagalbiniai skaičiavimai'!H215&gt;0,'5A. Pagalbiniai skaičiavimai'!H218&lt;=$B$31,'5A. Pagalbiniai skaičiavimai'!H219&gt;=$B$32),"ATITINKA","NEATITINKA"))</f>
        <v>#VALUE!</v>
      </c>
      <c r="N56" s="19" t="e">
        <f>IF(OR($B56="",'5A. Pagalbiniai skaičiavimai'!I215="",'5A. Pagalbiniai skaičiavimai'!I218="",'5A. Pagalbiniai skaičiavimai'!I219=""),"",IF(AND('5A. Pagalbiniai skaičiavimai'!I215&gt;0,'5A. Pagalbiniai skaičiavimai'!I218&lt;=$B$31,'5A. Pagalbiniai skaičiavimai'!I219&gt;=$B$32),"ATITINKA","NEATITINKA"))</f>
        <v>#VALUE!</v>
      </c>
      <c r="O56" s="19" t="e">
        <f>IF(OR($B56="",'5A. Pagalbiniai skaičiavimai'!J215="",'5A. Pagalbiniai skaičiavimai'!J218="",'5A. Pagalbiniai skaičiavimai'!J219=""),"",IF(AND('5A. Pagalbiniai skaičiavimai'!J215&gt;0,'5A. Pagalbiniai skaičiavimai'!J218&lt;=$B$31,'5A. Pagalbiniai skaičiavimai'!J219&gt;=$B$32),"ATITINKA","NEATITINKA"))</f>
        <v>#VALUE!</v>
      </c>
      <c r="P56" s="19" t="e">
        <f>IF(OR($B56="",'5A. Pagalbiniai skaičiavimai'!K215="",'5A. Pagalbiniai skaičiavimai'!K218="",'5A. Pagalbiniai skaičiavimai'!K219=""),"",IF(AND('5A. Pagalbiniai skaičiavimai'!K215&gt;0,'5A. Pagalbiniai skaičiavimai'!K218&lt;=$B$31,'5A. Pagalbiniai skaičiavimai'!K219&gt;=$B$32),"ATITINKA","NEATITINKA"))</f>
        <v>#VALUE!</v>
      </c>
      <c r="Q56" s="19" t="e">
        <f>IF(OR($B56="",'5A. Pagalbiniai skaičiavimai'!L215="",'5A. Pagalbiniai skaičiavimai'!L218="",'5A. Pagalbiniai skaičiavimai'!L219=""),"",IF(AND('5A. Pagalbiniai skaičiavimai'!L215&gt;0,'5A. Pagalbiniai skaičiavimai'!L218&lt;=$B$31,'5A. Pagalbiniai skaičiavimai'!L219&gt;=$B$32),"ATITINKA","NEATITINKA"))</f>
        <v>#VALUE!</v>
      </c>
      <c r="R56" s="2"/>
      <c r="S56" s="2"/>
      <c r="T56" s="2"/>
    </row>
    <row r="57" spans="1:20">
      <c r="A57" s="19">
        <v>19</v>
      </c>
      <c r="B57" s="19" t="str">
        <f>IF(AND(COUNTA('2. Investicijos'!$B$5:$B$23)=19,COUNT('2. Investicijos'!$E$5:$E$23)=19,COUNT('2. Investicijos'!$F$5:$F$23)=19,COUNT('2. Investicijos'!$G$5:$G$23)=19,COUNT('2. Investicijos'!$H$5:$H$23)=19),'2. Investicijos'!B23,"")</f>
        <v/>
      </c>
      <c r="C57" s="19" t="str">
        <f>IF(OR(B57="",COUNT('3. Finansinės prielaidos'!$C$27:$L$32)&lt;60),"",IF(COUNTIF(H57:Q57,"ATITINKA")=10,"ATITINKA","NEATITINKA"))</f>
        <v/>
      </c>
      <c r="D57" s="19" t="str">
        <f t="shared" si="7"/>
        <v/>
      </c>
      <c r="E57" s="19" t="str">
        <f>IF(C57="","",IF(C57&lt;&gt;"NEATITINKA","–",IF(INDEX('5A. Pagalbiniai skaičiavimai'!$C$225:$L$225,1,MATCH("NEATITINKA",H57:Q57,0))&lt;=0,"EBITDA ≤ 0",IF(AND(INDEX('5A. Pagalbiniai skaičiavimai'!$C$228:$L$228,1,MATCH("NEATITINKA",H57:Q57,0))&gt;$B$31,INDEX('5A. Pagalbiniai skaičiavimai'!$C$229:$L$229,1,MATCH("NEATITINKA",H57:Q57,0))&lt;$B$32),"Abu kriterijai",IF(INDEX('5A. Pagalbiniai skaičiavimai'!$C$228:$L$228,1,MATCH("NEATITINKA",H57:Q57,0))&gt;$B$31,"Net Debt / EBITDA &gt; 5,5","DSCR &lt; 1,2")))))</f>
        <v/>
      </c>
      <c r="F57" s="21" t="str">
        <f>IF(C57="","",MAX('5A. Pagalbiniai skaičiavimai'!C228:L228))</f>
        <v/>
      </c>
      <c r="G57" s="21" t="str">
        <f>IF(C57="","",MIN('5A. Pagalbiniai skaičiavimai'!C229:L229))</f>
        <v/>
      </c>
      <c r="H57" s="19" t="e">
        <f>IF(OR($B57="",'5A. Pagalbiniai skaičiavimai'!C225="",'5A. Pagalbiniai skaičiavimai'!C228="",'5A. Pagalbiniai skaičiavimai'!C229=""),"",IF(AND('5A. Pagalbiniai skaičiavimai'!C225&gt;0,'5A. Pagalbiniai skaičiavimai'!C228&lt;=$B$31,'5A. Pagalbiniai skaičiavimai'!C229&gt;=$B$32),"ATITINKA","NEATITINKA"))</f>
        <v>#VALUE!</v>
      </c>
      <c r="I57" s="19" t="e">
        <f>IF(OR($B57="",'5A. Pagalbiniai skaičiavimai'!D225="",'5A. Pagalbiniai skaičiavimai'!D228="",'5A. Pagalbiniai skaičiavimai'!D229=""),"",IF(AND('5A. Pagalbiniai skaičiavimai'!D225&gt;0,'5A. Pagalbiniai skaičiavimai'!D228&lt;=$B$31,'5A. Pagalbiniai skaičiavimai'!D229&gt;=$B$32),"ATITINKA","NEATITINKA"))</f>
        <v>#VALUE!</v>
      </c>
      <c r="J57" s="19" t="e">
        <f>IF(OR($B57="",'5A. Pagalbiniai skaičiavimai'!E225="",'5A. Pagalbiniai skaičiavimai'!E228="",'5A. Pagalbiniai skaičiavimai'!E229=""),"",IF(AND('5A. Pagalbiniai skaičiavimai'!E225&gt;0,'5A. Pagalbiniai skaičiavimai'!E228&lt;=$B$31,'5A. Pagalbiniai skaičiavimai'!E229&gt;=$B$32),"ATITINKA","NEATITINKA"))</f>
        <v>#VALUE!</v>
      </c>
      <c r="K57" s="19" t="e">
        <f>IF(OR($B57="",'5A. Pagalbiniai skaičiavimai'!F225="",'5A. Pagalbiniai skaičiavimai'!F228="",'5A. Pagalbiniai skaičiavimai'!F229=""),"",IF(AND('5A. Pagalbiniai skaičiavimai'!F225&gt;0,'5A. Pagalbiniai skaičiavimai'!F228&lt;=$B$31,'5A. Pagalbiniai skaičiavimai'!F229&gt;=$B$32),"ATITINKA","NEATITINKA"))</f>
        <v>#VALUE!</v>
      </c>
      <c r="L57" s="19" t="e">
        <f>IF(OR($B57="",'5A. Pagalbiniai skaičiavimai'!G225="",'5A. Pagalbiniai skaičiavimai'!G228="",'5A. Pagalbiniai skaičiavimai'!G229=""),"",IF(AND('5A. Pagalbiniai skaičiavimai'!G225&gt;0,'5A. Pagalbiniai skaičiavimai'!G228&lt;=$B$31,'5A. Pagalbiniai skaičiavimai'!G229&gt;=$B$32),"ATITINKA","NEATITINKA"))</f>
        <v>#VALUE!</v>
      </c>
      <c r="M57" s="19" t="e">
        <f>IF(OR($B57="",'5A. Pagalbiniai skaičiavimai'!H225="",'5A. Pagalbiniai skaičiavimai'!H228="",'5A. Pagalbiniai skaičiavimai'!H229=""),"",IF(AND('5A. Pagalbiniai skaičiavimai'!H225&gt;0,'5A. Pagalbiniai skaičiavimai'!H228&lt;=$B$31,'5A. Pagalbiniai skaičiavimai'!H229&gt;=$B$32),"ATITINKA","NEATITINKA"))</f>
        <v>#VALUE!</v>
      </c>
      <c r="N57" s="19" t="e">
        <f>IF(OR($B57="",'5A. Pagalbiniai skaičiavimai'!I225="",'5A. Pagalbiniai skaičiavimai'!I228="",'5A. Pagalbiniai skaičiavimai'!I229=""),"",IF(AND('5A. Pagalbiniai skaičiavimai'!I225&gt;0,'5A. Pagalbiniai skaičiavimai'!I228&lt;=$B$31,'5A. Pagalbiniai skaičiavimai'!I229&gt;=$B$32),"ATITINKA","NEATITINKA"))</f>
        <v>#VALUE!</v>
      </c>
      <c r="O57" s="19" t="e">
        <f>IF(OR($B57="",'5A. Pagalbiniai skaičiavimai'!J225="",'5A. Pagalbiniai skaičiavimai'!J228="",'5A. Pagalbiniai skaičiavimai'!J229=""),"",IF(AND('5A. Pagalbiniai skaičiavimai'!J225&gt;0,'5A. Pagalbiniai skaičiavimai'!J228&lt;=$B$31,'5A. Pagalbiniai skaičiavimai'!J229&gt;=$B$32),"ATITINKA","NEATITINKA"))</f>
        <v>#VALUE!</v>
      </c>
      <c r="P57" s="19" t="e">
        <f>IF(OR($B57="",'5A. Pagalbiniai skaičiavimai'!K225="",'5A. Pagalbiniai skaičiavimai'!K228="",'5A. Pagalbiniai skaičiavimai'!K229=""),"",IF(AND('5A. Pagalbiniai skaičiavimai'!K225&gt;0,'5A. Pagalbiniai skaičiavimai'!K228&lt;=$B$31,'5A. Pagalbiniai skaičiavimai'!K229&gt;=$B$32),"ATITINKA","NEATITINKA"))</f>
        <v>#VALUE!</v>
      </c>
      <c r="Q57" s="19" t="e">
        <f>IF(OR($B57="",'5A. Pagalbiniai skaičiavimai'!L225="",'5A. Pagalbiniai skaičiavimai'!L228="",'5A. Pagalbiniai skaičiavimai'!L229=""),"",IF(AND('5A. Pagalbiniai skaičiavimai'!L225&gt;0,'5A. Pagalbiniai skaičiavimai'!L228&lt;=$B$31,'5A. Pagalbiniai skaičiavimai'!L229&gt;=$B$32),"ATITINKA","NEATITINKA"))</f>
        <v>#VALUE!</v>
      </c>
      <c r="R57" s="2"/>
      <c r="S57" s="2"/>
      <c r="T57" s="2"/>
    </row>
    <row r="58" spans="1:20">
      <c r="A58" s="19">
        <v>20</v>
      </c>
      <c r="B58" s="19" t="str">
        <f>IF(AND(COUNTA('2. Investicijos'!$B$5:$B$24)=20,COUNT('2. Investicijos'!$E$5:$E$24)=20,COUNT('2. Investicijos'!$F$5:$F$24)=20,COUNT('2. Investicijos'!$G$5:$G$24)=20,COUNT('2. Investicijos'!$H$5:$H$24)=20),'2. Investicijos'!B24,"")</f>
        <v/>
      </c>
      <c r="C58" s="19" t="str">
        <f>IF(OR(B58="",COUNT('3. Finansinės prielaidos'!$C$27:$L$32)&lt;60),"",IF(COUNTIF(H58:Q58,"ATITINKA")=10,"ATITINKA","NEATITINKA"))</f>
        <v/>
      </c>
      <c r="D58" s="19" t="str">
        <f t="shared" si="7"/>
        <v/>
      </c>
      <c r="E58" s="19" t="str">
        <f>IF(C58="","",IF(C58&lt;&gt;"NEATITINKA","–",IF(INDEX('5A. Pagalbiniai skaičiavimai'!$C$235:$L$235,1,MATCH("NEATITINKA",H58:Q58,0))&lt;=0,"EBITDA ≤ 0",IF(AND(INDEX('5A. Pagalbiniai skaičiavimai'!$C$238:$L$238,1,MATCH("NEATITINKA",H58:Q58,0))&gt;$B$31,INDEX('5A. Pagalbiniai skaičiavimai'!$C$239:$L$239,1,MATCH("NEATITINKA",H58:Q58,0))&lt;$B$32),"Abu kriterijai",IF(INDEX('5A. Pagalbiniai skaičiavimai'!$C$238:$L$238,1,MATCH("NEATITINKA",H58:Q58,0))&gt;$B$31,"Net Debt / EBITDA &gt; 5,5","DSCR &lt; 1,2")))))</f>
        <v/>
      </c>
      <c r="F58" s="21" t="str">
        <f>IF(C58="","",MAX('5A. Pagalbiniai skaičiavimai'!C238:L238))</f>
        <v/>
      </c>
      <c r="G58" s="21" t="str">
        <f>IF(C58="","",MIN('5A. Pagalbiniai skaičiavimai'!C239:L239))</f>
        <v/>
      </c>
      <c r="H58" s="19" t="e">
        <f>IF(OR($B58="",'5A. Pagalbiniai skaičiavimai'!C235="",'5A. Pagalbiniai skaičiavimai'!C238="",'5A. Pagalbiniai skaičiavimai'!C239=""),"",IF(AND('5A. Pagalbiniai skaičiavimai'!C235&gt;0,'5A. Pagalbiniai skaičiavimai'!C238&lt;=$B$31,'5A. Pagalbiniai skaičiavimai'!C239&gt;=$B$32),"ATITINKA","NEATITINKA"))</f>
        <v>#VALUE!</v>
      </c>
      <c r="I58" s="19" t="e">
        <f>IF(OR($B58="",'5A. Pagalbiniai skaičiavimai'!D235="",'5A. Pagalbiniai skaičiavimai'!D238="",'5A. Pagalbiniai skaičiavimai'!D239=""),"",IF(AND('5A. Pagalbiniai skaičiavimai'!D235&gt;0,'5A. Pagalbiniai skaičiavimai'!D238&lt;=$B$31,'5A. Pagalbiniai skaičiavimai'!D239&gt;=$B$32),"ATITINKA","NEATITINKA"))</f>
        <v>#VALUE!</v>
      </c>
      <c r="J58" s="19" t="e">
        <f>IF(OR($B58="",'5A. Pagalbiniai skaičiavimai'!E235="",'5A. Pagalbiniai skaičiavimai'!E238="",'5A. Pagalbiniai skaičiavimai'!E239=""),"",IF(AND('5A. Pagalbiniai skaičiavimai'!E235&gt;0,'5A. Pagalbiniai skaičiavimai'!E238&lt;=$B$31,'5A. Pagalbiniai skaičiavimai'!E239&gt;=$B$32),"ATITINKA","NEATITINKA"))</f>
        <v>#VALUE!</v>
      </c>
      <c r="K58" s="19" t="e">
        <f>IF(OR($B58="",'5A. Pagalbiniai skaičiavimai'!F235="",'5A. Pagalbiniai skaičiavimai'!F238="",'5A. Pagalbiniai skaičiavimai'!F239=""),"",IF(AND('5A. Pagalbiniai skaičiavimai'!F235&gt;0,'5A. Pagalbiniai skaičiavimai'!F238&lt;=$B$31,'5A. Pagalbiniai skaičiavimai'!F239&gt;=$B$32),"ATITINKA","NEATITINKA"))</f>
        <v>#VALUE!</v>
      </c>
      <c r="L58" s="19" t="e">
        <f>IF(OR($B58="",'5A. Pagalbiniai skaičiavimai'!G235="",'5A. Pagalbiniai skaičiavimai'!G238="",'5A. Pagalbiniai skaičiavimai'!G239=""),"",IF(AND('5A. Pagalbiniai skaičiavimai'!G235&gt;0,'5A. Pagalbiniai skaičiavimai'!G238&lt;=$B$31,'5A. Pagalbiniai skaičiavimai'!G239&gt;=$B$32),"ATITINKA","NEATITINKA"))</f>
        <v>#VALUE!</v>
      </c>
      <c r="M58" s="19" t="e">
        <f>IF(OR($B58="",'5A. Pagalbiniai skaičiavimai'!H235="",'5A. Pagalbiniai skaičiavimai'!H238="",'5A. Pagalbiniai skaičiavimai'!H239=""),"",IF(AND('5A. Pagalbiniai skaičiavimai'!H235&gt;0,'5A. Pagalbiniai skaičiavimai'!H238&lt;=$B$31,'5A. Pagalbiniai skaičiavimai'!H239&gt;=$B$32),"ATITINKA","NEATITINKA"))</f>
        <v>#VALUE!</v>
      </c>
      <c r="N58" s="19" t="e">
        <f>IF(OR($B58="",'5A. Pagalbiniai skaičiavimai'!I235="",'5A. Pagalbiniai skaičiavimai'!I238="",'5A. Pagalbiniai skaičiavimai'!I239=""),"",IF(AND('5A. Pagalbiniai skaičiavimai'!I235&gt;0,'5A. Pagalbiniai skaičiavimai'!I238&lt;=$B$31,'5A. Pagalbiniai skaičiavimai'!I239&gt;=$B$32),"ATITINKA","NEATITINKA"))</f>
        <v>#VALUE!</v>
      </c>
      <c r="O58" s="19" t="e">
        <f>IF(OR($B58="",'5A. Pagalbiniai skaičiavimai'!J235="",'5A. Pagalbiniai skaičiavimai'!J238="",'5A. Pagalbiniai skaičiavimai'!J239=""),"",IF(AND('5A. Pagalbiniai skaičiavimai'!J235&gt;0,'5A. Pagalbiniai skaičiavimai'!J238&lt;=$B$31,'5A. Pagalbiniai skaičiavimai'!J239&gt;=$B$32),"ATITINKA","NEATITINKA"))</f>
        <v>#VALUE!</v>
      </c>
      <c r="P58" s="19" t="e">
        <f>IF(OR($B58="",'5A. Pagalbiniai skaičiavimai'!K235="",'5A. Pagalbiniai skaičiavimai'!K238="",'5A. Pagalbiniai skaičiavimai'!K239=""),"",IF(AND('5A. Pagalbiniai skaičiavimai'!K235&gt;0,'5A. Pagalbiniai skaičiavimai'!K238&lt;=$B$31,'5A. Pagalbiniai skaičiavimai'!K239&gt;=$B$32),"ATITINKA","NEATITINKA"))</f>
        <v>#VALUE!</v>
      </c>
      <c r="Q58" s="19" t="e">
        <f>IF(OR($B58="",'5A. Pagalbiniai skaičiavimai'!L235="",'5A. Pagalbiniai skaičiavimai'!L238="",'5A. Pagalbiniai skaičiavimai'!L239=""),"",IF(AND('5A. Pagalbiniai skaičiavimai'!L235&gt;0,'5A. Pagalbiniai skaičiavimai'!L238&lt;=$B$31,'5A. Pagalbiniai skaičiavimai'!L239&gt;=$B$32),"ATITINKA","NEATITINKA"))</f>
        <v>#VALUE!</v>
      </c>
      <c r="R58" s="2"/>
      <c r="S58" s="2"/>
      <c r="T58" s="2"/>
    </row>
    <row r="59" spans="1:20">
      <c r="A59" s="2"/>
      <c r="B59" s="2"/>
      <c r="C59" s="2"/>
      <c r="D59" s="2"/>
      <c r="E59" s="2"/>
      <c r="F59" s="2"/>
      <c r="G59" s="2"/>
      <c r="H59" s="2"/>
      <c r="I59" s="2"/>
      <c r="J59" s="2"/>
      <c r="K59" s="2"/>
      <c r="L59" s="2"/>
      <c r="M59" s="2"/>
      <c r="N59" s="2"/>
      <c r="O59" s="2"/>
      <c r="P59" s="2"/>
      <c r="Q59" s="2"/>
      <c r="R59" s="2"/>
      <c r="S59" s="2"/>
      <c r="T59" s="2"/>
    </row>
    <row r="60" spans="1:20">
      <c r="A60" s="24" t="s">
        <v>52</v>
      </c>
      <c r="B60" s="132" t="str">
        <f>IF(C38="","",IF(C38="NEATITINKA","BAZĖ JAU NEATITINKA",IF(COUNTIF(C39:C58,"NEATITINKA")=0,"LŪŽIO NĖRA","LŪŽIS")))</f>
        <v/>
      </c>
      <c r="C60" s="132"/>
      <c r="D60" s="132"/>
      <c r="E60" s="132"/>
      <c r="F60" s="132"/>
      <c r="G60" s="132"/>
      <c r="H60" s="132"/>
      <c r="I60" s="2"/>
      <c r="J60" s="2"/>
      <c r="K60" s="2"/>
      <c r="L60" s="2"/>
      <c r="M60" s="2"/>
      <c r="N60" s="2"/>
      <c r="O60" s="2"/>
      <c r="P60" s="2"/>
      <c r="Q60" s="2"/>
      <c r="R60" s="2"/>
      <c r="S60" s="2"/>
      <c r="T60" s="2"/>
    </row>
    <row r="61" spans="1:20">
      <c r="A61" s="24" t="s">
        <v>44</v>
      </c>
      <c r="B61" s="43" t="str">
        <f>IFERROR(IF(B60="","",IF(B60="BAZĖ JAU NEATITINKA",D38,IF(B60="LŪŽIO NĖRA","–",INDEX(D39:D58,MATCH("NEATITINKA",C39:C58,0))))),"")</f>
        <v/>
      </c>
      <c r="C61" s="43"/>
      <c r="D61" s="43"/>
      <c r="E61" s="43"/>
      <c r="F61" s="43"/>
      <c r="G61" s="43"/>
      <c r="H61" s="43"/>
      <c r="I61" s="2"/>
      <c r="J61" s="2"/>
      <c r="K61" s="2"/>
      <c r="L61" s="2"/>
      <c r="M61" s="2"/>
      <c r="N61" s="2"/>
      <c r="O61" s="2"/>
      <c r="P61" s="2"/>
      <c r="Q61" s="2"/>
      <c r="R61" s="2"/>
      <c r="S61" s="2"/>
      <c r="T61" s="2"/>
    </row>
    <row r="62" spans="1:20">
      <c r="A62" s="24" t="s">
        <v>53</v>
      </c>
      <c r="B62" s="23" t="str">
        <f>IF(B60="","",IF(B60="BAZĖ JAU NEATITINKA","Bazė",IF(B60="LŪŽIO NĖRA","–",INDEX(B39:B58,MATCH("NEATITINKA",C39:C58,0)))))</f>
        <v/>
      </c>
      <c r="C62" s="23"/>
      <c r="D62" s="23"/>
      <c r="E62" s="23"/>
      <c r="F62" s="23"/>
      <c r="G62" s="23"/>
      <c r="H62" s="23"/>
      <c r="I62" s="2"/>
      <c r="J62" s="2"/>
      <c r="K62" s="2"/>
      <c r="L62" s="2"/>
      <c r="M62" s="2"/>
      <c r="N62" s="2"/>
      <c r="O62" s="2"/>
      <c r="P62" s="2"/>
      <c r="Q62" s="2"/>
      <c r="R62" s="2"/>
      <c r="S62" s="2"/>
      <c r="T62" s="2"/>
    </row>
    <row r="63" spans="1:20">
      <c r="A63" s="24" t="s">
        <v>54</v>
      </c>
      <c r="B63" s="23" t="str" cm="1">
        <f t="array" ref="B63">IF(C58="","",IF(AND(SUMPRODUCT(--(H58:Q58=C28:L28))=10,SUMPRODUCT(--(ABS('5A. Pagalbiniai skaičiavimai'!C235:L235-C11:L11)&lt;0.01))=10,SUMPRODUCT(--(ABS('5A. Pagalbiniai skaičiavimai'!C236:L236-C17:L17)&lt;0.01))=10,SUMPRODUCT(--(ABS('5A. Pagalbiniai skaičiavimai'!C237:L237-C24:L24)&lt;0.01))=10,SUMPRODUCT(--(ABS('5A. Pagalbiniai skaičiavimai'!C238:L238-C26:L26)&lt;0.000001))=10,SUMPRODUCT(--(ABS('5A. Pagalbiniai skaičiavimai'!C239:L239-C27:L27)&lt;0.000001))=10),"OK","NEATITINKA"))</f>
        <v/>
      </c>
      <c r="C63" s="23"/>
      <c r="D63" s="23"/>
      <c r="E63" s="23"/>
      <c r="F63" s="23"/>
      <c r="G63" s="23"/>
      <c r="H63" s="23"/>
      <c r="I63" s="2"/>
      <c r="J63" s="2"/>
      <c r="K63" s="2"/>
      <c r="L63" s="2"/>
      <c r="M63" s="2"/>
      <c r="N63" s="2"/>
      <c r="O63" s="2"/>
      <c r="P63" s="2"/>
      <c r="Q63" s="2"/>
      <c r="R63" s="2"/>
      <c r="S63" s="2"/>
      <c r="T63" s="2"/>
    </row>
    <row r="64" spans="1:20">
      <c r="A64" s="2"/>
      <c r="B64" s="2"/>
      <c r="C64" s="2"/>
      <c r="D64" s="2"/>
      <c r="E64" s="2"/>
      <c r="F64" s="2"/>
      <c r="G64" s="2"/>
      <c r="H64" s="2"/>
      <c r="I64" s="2"/>
      <c r="J64" s="2"/>
      <c r="K64" s="2"/>
      <c r="L64" s="2"/>
      <c r="M64" s="2"/>
      <c r="N64" s="2"/>
      <c r="O64" s="2"/>
      <c r="P64" s="2"/>
      <c r="Q64" s="2"/>
      <c r="R64" s="2"/>
      <c r="S64" s="2"/>
      <c r="T64" s="2"/>
    </row>
    <row r="65" spans="1:20">
      <c r="A65" s="130" t="s">
        <v>56</v>
      </c>
      <c r="B65" s="130"/>
      <c r="C65" s="130"/>
      <c r="D65" s="130"/>
      <c r="E65" s="130"/>
      <c r="F65" s="130"/>
      <c r="G65" s="130"/>
      <c r="H65" s="130"/>
      <c r="I65" s="130"/>
      <c r="J65" s="130"/>
      <c r="K65" s="130"/>
      <c r="L65" s="130"/>
      <c r="M65" s="130"/>
      <c r="N65" s="130"/>
      <c r="O65" s="130"/>
      <c r="P65" s="130"/>
      <c r="Q65" s="130"/>
      <c r="R65" s="131"/>
      <c r="S65" s="131"/>
      <c r="T65" s="131"/>
    </row>
  </sheetData>
  <sheetProtection algorithmName="SHA-512" hashValue="9bvgTMuMJJbK2qEnyOpvApgdcmiCYJ0Rqd3qlrtXin5AQfrrU+cKRRkgw+ZpNcUVLFeHiXiANII7rhU6T8ODYA==" saltValue="yGaZSteupX3VsJNHhVr8zg==" spinCount="100000" sheet="1" objects="1" scenarios="1"/>
  <mergeCells count="9">
    <mergeCell ref="C34:K34"/>
    <mergeCell ref="A36:Q36"/>
    <mergeCell ref="A65:T65"/>
    <mergeCell ref="B60:H60"/>
    <mergeCell ref="A1:K1"/>
    <mergeCell ref="A2:K2"/>
    <mergeCell ref="C31:K31"/>
    <mergeCell ref="C32:K32"/>
    <mergeCell ref="C33:K33"/>
  </mergeCells>
  <conditionalFormatting sqref="B63">
    <cfRule type="expression" dxfId="43" priority="9">
      <formula>B63="OK"</formula>
    </cfRule>
    <cfRule type="expression" dxfId="42" priority="10">
      <formula>B63="NEATITINKA"</formula>
    </cfRule>
  </conditionalFormatting>
  <conditionalFormatting sqref="C38:C58">
    <cfRule type="expression" dxfId="41" priority="3">
      <formula>C38="ATITINKA"</formula>
    </cfRule>
    <cfRule type="expression" dxfId="40" priority="4">
      <formula>C38="NEATITINKA"</formula>
    </cfRule>
  </conditionalFormatting>
  <conditionalFormatting sqref="C28:L28">
    <cfRule type="expression" dxfId="39" priority="1">
      <formula>C28="ATITINKA"</formula>
    </cfRule>
    <cfRule type="expression" dxfId="38" priority="2">
      <formula>C28="NEATITINKA"</formula>
    </cfRule>
  </conditionalFormatting>
  <conditionalFormatting sqref="H38:Q58">
    <cfRule type="expression" dxfId="37" priority="5">
      <formula>H38="ATITINKA"</formula>
    </cfRule>
    <cfRule type="expression" dxfId="36" priority="6">
      <formula>H38="NEATITINKA"</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67DBC-CCE1-46CE-827A-F5BFB8FB32D0}">
  <dimension ref="A1:AS239"/>
  <sheetViews>
    <sheetView workbookViewId="0">
      <pane xSplit="5" ySplit="4" topLeftCell="F5" activePane="bottomRight" state="frozen"/>
      <selection pane="topRight" activeCell="F1" sqref="F1"/>
      <selection pane="bottomLeft" activeCell="A5" sqref="A5"/>
      <selection pane="bottomRight" activeCell="F25" sqref="F25"/>
    </sheetView>
  </sheetViews>
  <sheetFormatPr defaultRowHeight="14"/>
  <cols>
    <col min="1" max="1" width="8.6640625" customWidth="1"/>
    <col min="2" max="2" width="36.6640625" customWidth="1"/>
    <col min="3" max="5" width="14.6640625" customWidth="1"/>
    <col min="6" max="45" width="11.33203125" customWidth="1"/>
  </cols>
  <sheetData>
    <row r="1" spans="1:45" ht="19.5">
      <c r="A1" s="120" t="s">
        <v>147</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row>
    <row r="2" spans="1:45">
      <c r="A2" s="136" t="s">
        <v>148</v>
      </c>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c r="AL2" s="136"/>
      <c r="AM2" s="136"/>
      <c r="AN2" s="136"/>
      <c r="AO2" s="136"/>
      <c r="AP2" s="136"/>
      <c r="AQ2" s="136"/>
      <c r="AR2" s="136"/>
      <c r="AS2" s="136"/>
    </row>
    <row r="3" spans="1:45">
      <c r="A3" s="57"/>
      <c r="B3" s="57"/>
      <c r="C3" s="57"/>
      <c r="D3" s="57"/>
      <c r="E3" s="57"/>
      <c r="F3" s="137" t="s">
        <v>151</v>
      </c>
      <c r="G3" s="137"/>
      <c r="H3" s="137"/>
      <c r="I3" s="137"/>
      <c r="J3" s="137"/>
      <c r="K3" s="137"/>
      <c r="L3" s="137"/>
      <c r="M3" s="137"/>
      <c r="N3" s="137"/>
      <c r="O3" s="137"/>
      <c r="P3" s="137" t="s">
        <v>152</v>
      </c>
      <c r="Q3" s="137"/>
      <c r="R3" s="137"/>
      <c r="S3" s="137"/>
      <c r="T3" s="137"/>
      <c r="U3" s="137"/>
      <c r="V3" s="137"/>
      <c r="W3" s="137"/>
      <c r="X3" s="137"/>
      <c r="Y3" s="137"/>
      <c r="Z3" s="137" t="s">
        <v>153</v>
      </c>
      <c r="AA3" s="137"/>
      <c r="AB3" s="137"/>
      <c r="AC3" s="137"/>
      <c r="AD3" s="137"/>
      <c r="AE3" s="137"/>
      <c r="AF3" s="137"/>
      <c r="AG3" s="137"/>
      <c r="AH3" s="137"/>
      <c r="AI3" s="137"/>
      <c r="AJ3" s="137" t="s">
        <v>154</v>
      </c>
      <c r="AK3" s="137"/>
      <c r="AL3" s="137"/>
      <c r="AM3" s="137"/>
      <c r="AN3" s="137"/>
      <c r="AO3" s="137"/>
      <c r="AP3" s="137"/>
      <c r="AQ3" s="137"/>
      <c r="AR3" s="137"/>
      <c r="AS3" s="137"/>
    </row>
    <row r="4" spans="1:45">
      <c r="A4" s="65" t="s">
        <v>1</v>
      </c>
      <c r="B4" s="65" t="s">
        <v>32</v>
      </c>
      <c r="C4" s="65" t="s">
        <v>14</v>
      </c>
      <c r="D4" s="65" t="s">
        <v>149</v>
      </c>
      <c r="E4" s="65" t="s">
        <v>150</v>
      </c>
      <c r="F4" s="64">
        <v>2026</v>
      </c>
      <c r="G4" s="64">
        <v>2027</v>
      </c>
      <c r="H4" s="64">
        <v>2028</v>
      </c>
      <c r="I4" s="64">
        <v>2029</v>
      </c>
      <c r="J4" s="64">
        <v>2030</v>
      </c>
      <c r="K4" s="64">
        <v>2031</v>
      </c>
      <c r="L4" s="64">
        <v>2032</v>
      </c>
      <c r="M4" s="64">
        <v>2033</v>
      </c>
      <c r="N4" s="64">
        <v>2034</v>
      </c>
      <c r="O4" s="64">
        <v>2035</v>
      </c>
      <c r="P4" s="64">
        <v>2026</v>
      </c>
      <c r="Q4" s="64">
        <v>2027</v>
      </c>
      <c r="R4" s="64">
        <v>2028</v>
      </c>
      <c r="S4" s="64">
        <v>2029</v>
      </c>
      <c r="T4" s="64">
        <v>2030</v>
      </c>
      <c r="U4" s="64">
        <v>2031</v>
      </c>
      <c r="V4" s="64">
        <v>2032</v>
      </c>
      <c r="W4" s="64">
        <v>2033</v>
      </c>
      <c r="X4" s="64">
        <v>2034</v>
      </c>
      <c r="Y4" s="64">
        <v>2035</v>
      </c>
      <c r="Z4" s="64">
        <v>2026</v>
      </c>
      <c r="AA4" s="64">
        <v>2027</v>
      </c>
      <c r="AB4" s="64">
        <v>2028</v>
      </c>
      <c r="AC4" s="64">
        <v>2029</v>
      </c>
      <c r="AD4" s="64">
        <v>2030</v>
      </c>
      <c r="AE4" s="64">
        <v>2031</v>
      </c>
      <c r="AF4" s="64">
        <v>2032</v>
      </c>
      <c r="AG4" s="64">
        <v>2033</v>
      </c>
      <c r="AH4" s="64">
        <v>2034</v>
      </c>
      <c r="AI4" s="64">
        <v>2035</v>
      </c>
      <c r="AJ4" s="64">
        <v>2026</v>
      </c>
      <c r="AK4" s="64">
        <v>2027</v>
      </c>
      <c r="AL4" s="64">
        <v>2028</v>
      </c>
      <c r="AM4" s="64">
        <v>2029</v>
      </c>
      <c r="AN4" s="64">
        <v>2030</v>
      </c>
      <c r="AO4" s="64">
        <v>2031</v>
      </c>
      <c r="AP4" s="64">
        <v>2032</v>
      </c>
      <c r="AQ4" s="64">
        <v>2033</v>
      </c>
      <c r="AR4" s="64">
        <v>2034</v>
      </c>
      <c r="AS4" s="64">
        <v>2035</v>
      </c>
    </row>
    <row r="5" spans="1:45">
      <c r="A5" s="58" t="str">
        <f>'2. Investicijos'!A5</f>
        <v>1.</v>
      </c>
      <c r="B5" s="57">
        <f>'2. Investicijos'!B5</f>
        <v>0</v>
      </c>
      <c r="C5" s="59">
        <f>IF('2. Investicijos'!N5="",0,'2. Investicijos'!N5)</f>
        <v>0</v>
      </c>
      <c r="D5" s="60">
        <f>IF('2. Investicijos'!O5="",0,'2. Investicijos'!O5/100)</f>
        <v>0</v>
      </c>
      <c r="E5" s="61">
        <f>IF('2. Investicijos'!P5="",0,'2. Investicijos'!P5)</f>
        <v>0</v>
      </c>
      <c r="F5" s="59">
        <f>IFERROR('4. Metinis CAPEX'!F9/'2. Investicijos'!$H5*$C5,0)</f>
        <v>0</v>
      </c>
      <c r="G5" s="59">
        <f>IFERROR('4. Metinis CAPEX'!G9/'2. Investicijos'!$H5*$C5,0)</f>
        <v>0</v>
      </c>
      <c r="H5" s="59">
        <f>IFERROR('4. Metinis CAPEX'!H9/'2. Investicijos'!$H5*$C5,0)</f>
        <v>0</v>
      </c>
      <c r="I5" s="59">
        <f>IFERROR('4. Metinis CAPEX'!I9/'2. Investicijos'!$H5*$C5,0)</f>
        <v>0</v>
      </c>
      <c r="J5" s="59">
        <f>IFERROR('4. Metinis CAPEX'!J9/'2. Investicijos'!$H5*$C5,0)</f>
        <v>0</v>
      </c>
      <c r="K5" s="59">
        <f>IFERROR('4. Metinis CAPEX'!K9/'2. Investicijos'!$H5*$C5,0)</f>
        <v>0</v>
      </c>
      <c r="L5" s="59">
        <f>IFERROR('4. Metinis CAPEX'!L9/'2. Investicijos'!$H5*$C5,0)</f>
        <v>0</v>
      </c>
      <c r="M5" s="59">
        <f>IFERROR('4. Metinis CAPEX'!M9/'2. Investicijos'!$H5*$C5,0)</f>
        <v>0</v>
      </c>
      <c r="N5" s="59">
        <f>IFERROR('4. Metinis CAPEX'!N9/'2. Investicijos'!$H5*$C5,0)</f>
        <v>0</v>
      </c>
      <c r="O5" s="59">
        <f>IFERROR('4. Metinis CAPEX'!O9/'2. Investicijos'!$H5*$C5,0)</f>
        <v>0</v>
      </c>
      <c r="P5" s="59" cm="1">
        <f t="array" ref="P5">IF($E5=0,0,SUMPRODUCT(($F$4:$O$4&lt;P$4)*($F$4:$O$4&gt;=P$4-$E5)*($F5:$O5/$E5)))</f>
        <v>0</v>
      </c>
      <c r="Q5" s="59" cm="1">
        <f t="array" ref="Q5">IF($E5=0,0,SUMPRODUCT(($F$4:$O$4&lt;Q$4)*($F$4:$O$4&gt;=Q$4-$E5)*($F5:$O5/$E5)))</f>
        <v>0</v>
      </c>
      <c r="R5" s="59" cm="1">
        <f t="array" ref="R5">IF($E5=0,0,SUMPRODUCT(($F$4:$O$4&lt;R$4)*($F$4:$O$4&gt;=R$4-$E5)*($F5:$O5/$E5)))</f>
        <v>0</v>
      </c>
      <c r="S5" s="59" cm="1">
        <f t="array" ref="S5">IF($E5=0,0,SUMPRODUCT(($F$4:$O$4&lt;S$4)*($F$4:$O$4&gt;=S$4-$E5)*($F5:$O5/$E5)))</f>
        <v>0</v>
      </c>
      <c r="T5" s="59" cm="1">
        <f t="array" ref="T5">IF($E5=0,0,SUMPRODUCT(($F$4:$O$4&lt;T$4)*($F$4:$O$4&gt;=T$4-$E5)*($F5:$O5/$E5)))</f>
        <v>0</v>
      </c>
      <c r="U5" s="59" cm="1">
        <f t="array" ref="U5">IF($E5=0,0,SUMPRODUCT(($F$4:$O$4&lt;U$4)*($F$4:$O$4&gt;=U$4-$E5)*($F5:$O5/$E5)))</f>
        <v>0</v>
      </c>
      <c r="V5" s="59" cm="1">
        <f t="array" ref="V5">IF($E5=0,0,SUMPRODUCT(($F$4:$O$4&lt;V$4)*($F$4:$O$4&gt;=V$4-$E5)*($F5:$O5/$E5)))</f>
        <v>0</v>
      </c>
      <c r="W5" s="59" cm="1">
        <f t="array" ref="W5">IF($E5=0,0,SUMPRODUCT(($F$4:$O$4&lt;W$4)*($F$4:$O$4&gt;=W$4-$E5)*($F5:$O5/$E5)))</f>
        <v>0</v>
      </c>
      <c r="X5" s="59" cm="1">
        <f t="array" ref="X5">IF($E5=0,0,SUMPRODUCT(($F$4:$O$4&lt;X$4)*($F$4:$O$4&gt;=X$4-$E5)*($F5:$O5/$E5)))</f>
        <v>0</v>
      </c>
      <c r="Y5" s="59" cm="1">
        <f t="array" ref="Y5">IF($E5=0,0,SUMPRODUCT(($F$4:$O$4&lt;Y$4)*($F$4:$O$4&gt;=Y$4-$E5)*($F5:$O5/$E5)))</f>
        <v>0</v>
      </c>
      <c r="Z5" s="59">
        <f>0</f>
        <v>0</v>
      </c>
      <c r="AA5" s="59">
        <f t="shared" ref="AA5" si="0">AJ5*$D5</f>
        <v>0</v>
      </c>
      <c r="AB5" s="59">
        <f t="shared" ref="AB5" si="1">AK5*$D5</f>
        <v>0</v>
      </c>
      <c r="AC5" s="59">
        <f t="shared" ref="AC5" si="2">AL5*$D5</f>
        <v>0</v>
      </c>
      <c r="AD5" s="59">
        <f t="shared" ref="AD5" si="3">AM5*$D5</f>
        <v>0</v>
      </c>
      <c r="AE5" s="59">
        <f t="shared" ref="AE5" si="4">AN5*$D5</f>
        <v>0</v>
      </c>
      <c r="AF5" s="59">
        <f t="shared" ref="AF5" si="5">AO5*$D5</f>
        <v>0</v>
      </c>
      <c r="AG5" s="59">
        <f t="shared" ref="AG5" si="6">AP5*$D5</f>
        <v>0</v>
      </c>
      <c r="AH5" s="59">
        <f t="shared" ref="AH5" si="7">AQ5*$D5</f>
        <v>0</v>
      </c>
      <c r="AI5" s="59">
        <f t="shared" ref="AI5" si="8">AR5*$D5</f>
        <v>0</v>
      </c>
      <c r="AJ5" s="59">
        <f t="shared" ref="AJ5" si="9">F5-P5</f>
        <v>0</v>
      </c>
      <c r="AK5" s="59">
        <f t="shared" ref="AK5" si="10">AJ5+G5-Q5</f>
        <v>0</v>
      </c>
      <c r="AL5" s="59">
        <f t="shared" ref="AL5" si="11">AK5+H5-R5</f>
        <v>0</v>
      </c>
      <c r="AM5" s="59">
        <f t="shared" ref="AM5" si="12">AL5+I5-S5</f>
        <v>0</v>
      </c>
      <c r="AN5" s="59">
        <f t="shared" ref="AN5" si="13">AM5+J5-T5</f>
        <v>0</v>
      </c>
      <c r="AO5" s="59">
        <f t="shared" ref="AO5" si="14">AN5+K5-U5</f>
        <v>0</v>
      </c>
      <c r="AP5" s="59">
        <f t="shared" ref="AP5" si="15">AO5+L5-V5</f>
        <v>0</v>
      </c>
      <c r="AQ5" s="59">
        <f t="shared" ref="AQ5" si="16">AP5+M5-W5</f>
        <v>0</v>
      </c>
      <c r="AR5" s="59">
        <f t="shared" ref="AR5" si="17">AQ5+N5-X5</f>
        <v>0</v>
      </c>
      <c r="AS5" s="59">
        <f t="shared" ref="AS5" si="18">AR5+O5-Y5</f>
        <v>0</v>
      </c>
    </row>
    <row r="6" spans="1:45">
      <c r="A6" s="58" t="str">
        <f>'2. Investicijos'!A6</f>
        <v>2.</v>
      </c>
      <c r="B6" s="57">
        <f>'2. Investicijos'!B6</f>
        <v>0</v>
      </c>
      <c r="C6" s="59">
        <f>IF('2. Investicijos'!N6="",0,'2. Investicijos'!N6)</f>
        <v>0</v>
      </c>
      <c r="D6" s="60">
        <f>IF('2. Investicijos'!O6="",0,'2. Investicijos'!O6/100)</f>
        <v>0</v>
      </c>
      <c r="E6" s="61">
        <f>IF('2. Investicijos'!P6="",0,'2. Investicijos'!P6)</f>
        <v>0</v>
      </c>
      <c r="F6" s="59">
        <f>IFERROR('4. Metinis CAPEX'!F10/'2. Investicijos'!$H6*$C6,0)</f>
        <v>0</v>
      </c>
      <c r="G6" s="59">
        <f>IFERROR('4. Metinis CAPEX'!G10/'2. Investicijos'!$H6*$C6,0)</f>
        <v>0</v>
      </c>
      <c r="H6" s="59">
        <f>IFERROR('4. Metinis CAPEX'!H10/'2. Investicijos'!$H6*$C6,0)</f>
        <v>0</v>
      </c>
      <c r="I6" s="59">
        <f>IFERROR('4. Metinis CAPEX'!I10/'2. Investicijos'!$H6*$C6,0)</f>
        <v>0</v>
      </c>
      <c r="J6" s="59">
        <f>IFERROR('4. Metinis CAPEX'!J10/'2. Investicijos'!$H6*$C6,0)</f>
        <v>0</v>
      </c>
      <c r="K6" s="59">
        <f>IFERROR('4. Metinis CAPEX'!K10/'2. Investicijos'!$H6*$C6,0)</f>
        <v>0</v>
      </c>
      <c r="L6" s="59">
        <f>IFERROR('4. Metinis CAPEX'!L10/'2. Investicijos'!$H6*$C6,0)</f>
        <v>0</v>
      </c>
      <c r="M6" s="59">
        <f>IFERROR('4. Metinis CAPEX'!M10/'2. Investicijos'!$H6*$C6,0)</f>
        <v>0</v>
      </c>
      <c r="N6" s="59">
        <f>IFERROR('4. Metinis CAPEX'!N10/'2. Investicijos'!$H6*$C6,0)</f>
        <v>0</v>
      </c>
      <c r="O6" s="59">
        <f>IFERROR('4. Metinis CAPEX'!O10/'2. Investicijos'!$H6*$C6,0)</f>
        <v>0</v>
      </c>
      <c r="P6" s="59" cm="1">
        <f t="array" ref="P6">IF($E6=0,0,SUMPRODUCT(($F$4:$O$4&lt;P$4)*($F$4:$O$4&gt;=P$4-$E6)*($F6:$O6/$E6)))</f>
        <v>0</v>
      </c>
      <c r="Q6" s="59" cm="1">
        <f t="array" ref="Q6">IF($E6=0,0,SUMPRODUCT(($F$4:$O$4&lt;Q$4)*($F$4:$O$4&gt;=Q$4-$E6)*($F6:$O6/$E6)))</f>
        <v>0</v>
      </c>
      <c r="R6" s="59" cm="1">
        <f t="array" ref="R6">IF($E6=0,0,SUMPRODUCT(($F$4:$O$4&lt;R$4)*($F$4:$O$4&gt;=R$4-$E6)*($F6:$O6/$E6)))</f>
        <v>0</v>
      </c>
      <c r="S6" s="59" cm="1">
        <f t="array" ref="S6">IF($E6=0,0,SUMPRODUCT(($F$4:$O$4&lt;S$4)*($F$4:$O$4&gt;=S$4-$E6)*($F6:$O6/$E6)))</f>
        <v>0</v>
      </c>
      <c r="T6" s="59" cm="1">
        <f t="array" ref="T6">IF($E6=0,0,SUMPRODUCT(($F$4:$O$4&lt;T$4)*($F$4:$O$4&gt;=T$4-$E6)*($F6:$O6/$E6)))</f>
        <v>0</v>
      </c>
      <c r="U6" s="59" cm="1">
        <f t="array" ref="U6">IF($E6=0,0,SUMPRODUCT(($F$4:$O$4&lt;U$4)*($F$4:$O$4&gt;=U$4-$E6)*($F6:$O6/$E6)))</f>
        <v>0</v>
      </c>
      <c r="V6" s="59" cm="1">
        <f t="array" ref="V6">IF($E6=0,0,SUMPRODUCT(($F$4:$O$4&lt;V$4)*($F$4:$O$4&gt;=V$4-$E6)*($F6:$O6/$E6)))</f>
        <v>0</v>
      </c>
      <c r="W6" s="59" cm="1">
        <f t="array" ref="W6">IF($E6=0,0,SUMPRODUCT(($F$4:$O$4&lt;W$4)*($F$4:$O$4&gt;=W$4-$E6)*($F6:$O6/$E6)))</f>
        <v>0</v>
      </c>
      <c r="X6" s="59" cm="1">
        <f t="array" ref="X6">IF($E6=0,0,SUMPRODUCT(($F$4:$O$4&lt;X$4)*($F$4:$O$4&gt;=X$4-$E6)*($F6:$O6/$E6)))</f>
        <v>0</v>
      </c>
      <c r="Y6" s="59" cm="1">
        <f t="array" ref="Y6">IF($E6=0,0,SUMPRODUCT(($F$4:$O$4&lt;Y$4)*($F$4:$O$4&gt;=Y$4-$E6)*($F6:$O6/$E6)))</f>
        <v>0</v>
      </c>
      <c r="Z6" s="59">
        <f>0</f>
        <v>0</v>
      </c>
      <c r="AA6" s="59">
        <f t="shared" ref="AA6:AA24" si="19">AJ6*$D6</f>
        <v>0</v>
      </c>
      <c r="AB6" s="59">
        <f t="shared" ref="AB6:AB24" si="20">AK6*$D6</f>
        <v>0</v>
      </c>
      <c r="AC6" s="59">
        <f t="shared" ref="AC6:AC24" si="21">AL6*$D6</f>
        <v>0</v>
      </c>
      <c r="AD6" s="59">
        <f t="shared" ref="AD6:AD24" si="22">AM6*$D6</f>
        <v>0</v>
      </c>
      <c r="AE6" s="59">
        <f t="shared" ref="AE6:AE24" si="23">AN6*$D6</f>
        <v>0</v>
      </c>
      <c r="AF6" s="59">
        <f t="shared" ref="AF6:AF24" si="24">AO6*$D6</f>
        <v>0</v>
      </c>
      <c r="AG6" s="59">
        <f t="shared" ref="AG6:AG24" si="25">AP6*$D6</f>
        <v>0</v>
      </c>
      <c r="AH6" s="59">
        <f t="shared" ref="AH6:AH24" si="26">AQ6*$D6</f>
        <v>0</v>
      </c>
      <c r="AI6" s="59">
        <f t="shared" ref="AI6:AI24" si="27">AR6*$D6</f>
        <v>0</v>
      </c>
      <c r="AJ6" s="59">
        <f t="shared" ref="AJ6:AJ24" si="28">F6-P6</f>
        <v>0</v>
      </c>
      <c r="AK6" s="59">
        <f t="shared" ref="AK6:AK24" si="29">AJ6+G6-Q6</f>
        <v>0</v>
      </c>
      <c r="AL6" s="59">
        <f t="shared" ref="AL6:AL24" si="30">AK6+H6-R6</f>
        <v>0</v>
      </c>
      <c r="AM6" s="59">
        <f t="shared" ref="AM6:AM24" si="31">AL6+I6-S6</f>
        <v>0</v>
      </c>
      <c r="AN6" s="59">
        <f t="shared" ref="AN6:AN24" si="32">AM6+J6-T6</f>
        <v>0</v>
      </c>
      <c r="AO6" s="59">
        <f t="shared" ref="AO6:AO24" si="33">AN6+K6-U6</f>
        <v>0</v>
      </c>
      <c r="AP6" s="59">
        <f t="shared" ref="AP6:AP24" si="34">AO6+L6-V6</f>
        <v>0</v>
      </c>
      <c r="AQ6" s="59">
        <f t="shared" ref="AQ6:AQ24" si="35">AP6+M6-W6</f>
        <v>0</v>
      </c>
      <c r="AR6" s="59">
        <f t="shared" ref="AR6:AR24" si="36">AQ6+N6-X6</f>
        <v>0</v>
      </c>
      <c r="AS6" s="59">
        <f t="shared" ref="AS6:AS24" si="37">AR6+O6-Y6</f>
        <v>0</v>
      </c>
    </row>
    <row r="7" spans="1:45">
      <c r="A7" s="58" t="str">
        <f>'2. Investicijos'!A7</f>
        <v>3.</v>
      </c>
      <c r="B7" s="57">
        <f>'2. Investicijos'!B7</f>
        <v>0</v>
      </c>
      <c r="C7" s="59">
        <f>IF('2. Investicijos'!N7="",0,'2. Investicijos'!N7)</f>
        <v>0</v>
      </c>
      <c r="D7" s="60">
        <f>IF('2. Investicijos'!O7="",0,'2. Investicijos'!O7/100)</f>
        <v>0</v>
      </c>
      <c r="E7" s="61">
        <f>IF('2. Investicijos'!P7="",0,'2. Investicijos'!P7)</f>
        <v>0</v>
      </c>
      <c r="F7" s="59">
        <f>IFERROR('4. Metinis CAPEX'!F11/'2. Investicijos'!$H7*$C7,0)</f>
        <v>0</v>
      </c>
      <c r="G7" s="59">
        <f>IFERROR('4. Metinis CAPEX'!G11/'2. Investicijos'!$H7*$C7,0)</f>
        <v>0</v>
      </c>
      <c r="H7" s="59">
        <f>IFERROR('4. Metinis CAPEX'!H11/'2. Investicijos'!$H7*$C7,0)</f>
        <v>0</v>
      </c>
      <c r="I7" s="59">
        <f>IFERROR('4. Metinis CAPEX'!I11/'2. Investicijos'!$H7*$C7,0)</f>
        <v>0</v>
      </c>
      <c r="J7" s="59">
        <f>IFERROR('4. Metinis CAPEX'!J11/'2. Investicijos'!$H7*$C7,0)</f>
        <v>0</v>
      </c>
      <c r="K7" s="59">
        <f>IFERROR('4. Metinis CAPEX'!K11/'2. Investicijos'!$H7*$C7,0)</f>
        <v>0</v>
      </c>
      <c r="L7" s="59">
        <f>IFERROR('4. Metinis CAPEX'!L11/'2. Investicijos'!$H7*$C7,0)</f>
        <v>0</v>
      </c>
      <c r="M7" s="59">
        <f>IFERROR('4. Metinis CAPEX'!M11/'2. Investicijos'!$H7*$C7,0)</f>
        <v>0</v>
      </c>
      <c r="N7" s="59">
        <f>IFERROR('4. Metinis CAPEX'!N11/'2. Investicijos'!$H7*$C7,0)</f>
        <v>0</v>
      </c>
      <c r="O7" s="59">
        <f>IFERROR('4. Metinis CAPEX'!O11/'2. Investicijos'!$H7*$C7,0)</f>
        <v>0</v>
      </c>
      <c r="P7" s="59" cm="1">
        <f t="array" ref="P7">IF($E7=0,0,SUMPRODUCT(($F$4:$O$4&lt;P$4)*($F$4:$O$4&gt;=P$4-$E7)*($F7:$O7/$E7)))</f>
        <v>0</v>
      </c>
      <c r="Q7" s="59" cm="1">
        <f t="array" ref="Q7">IF($E7=0,0,SUMPRODUCT(($F$4:$O$4&lt;Q$4)*($F$4:$O$4&gt;=Q$4-$E7)*($F7:$O7/$E7)))</f>
        <v>0</v>
      </c>
      <c r="R7" s="59" cm="1">
        <f t="array" ref="R7">IF($E7=0,0,SUMPRODUCT(($F$4:$O$4&lt;R$4)*($F$4:$O$4&gt;=R$4-$E7)*($F7:$O7/$E7)))</f>
        <v>0</v>
      </c>
      <c r="S7" s="59" cm="1">
        <f t="array" ref="S7">IF($E7=0,0,SUMPRODUCT(($F$4:$O$4&lt;S$4)*($F$4:$O$4&gt;=S$4-$E7)*($F7:$O7/$E7)))</f>
        <v>0</v>
      </c>
      <c r="T7" s="59" cm="1">
        <f t="array" ref="T7">IF($E7=0,0,SUMPRODUCT(($F$4:$O$4&lt;T$4)*($F$4:$O$4&gt;=T$4-$E7)*($F7:$O7/$E7)))</f>
        <v>0</v>
      </c>
      <c r="U7" s="59" cm="1">
        <f t="array" ref="U7">IF($E7=0,0,SUMPRODUCT(($F$4:$O$4&lt;U$4)*($F$4:$O$4&gt;=U$4-$E7)*($F7:$O7/$E7)))</f>
        <v>0</v>
      </c>
      <c r="V7" s="59" cm="1">
        <f t="array" ref="V7">IF($E7=0,0,SUMPRODUCT(($F$4:$O$4&lt;V$4)*($F$4:$O$4&gt;=V$4-$E7)*($F7:$O7/$E7)))</f>
        <v>0</v>
      </c>
      <c r="W7" s="59" cm="1">
        <f t="array" ref="W7">IF($E7=0,0,SUMPRODUCT(($F$4:$O$4&lt;W$4)*($F$4:$O$4&gt;=W$4-$E7)*($F7:$O7/$E7)))</f>
        <v>0</v>
      </c>
      <c r="X7" s="59" cm="1">
        <f t="array" ref="X7">IF($E7=0,0,SUMPRODUCT(($F$4:$O$4&lt;X$4)*($F$4:$O$4&gt;=X$4-$E7)*($F7:$O7/$E7)))</f>
        <v>0</v>
      </c>
      <c r="Y7" s="59" cm="1">
        <f t="array" ref="Y7">IF($E7=0,0,SUMPRODUCT(($F$4:$O$4&lt;Y$4)*($F$4:$O$4&gt;=Y$4-$E7)*($F7:$O7/$E7)))</f>
        <v>0</v>
      </c>
      <c r="Z7" s="59">
        <f>0</f>
        <v>0</v>
      </c>
      <c r="AA7" s="59">
        <f t="shared" si="19"/>
        <v>0</v>
      </c>
      <c r="AB7" s="59">
        <f t="shared" si="20"/>
        <v>0</v>
      </c>
      <c r="AC7" s="59">
        <f t="shared" si="21"/>
        <v>0</v>
      </c>
      <c r="AD7" s="59">
        <f t="shared" si="22"/>
        <v>0</v>
      </c>
      <c r="AE7" s="59">
        <f t="shared" si="23"/>
        <v>0</v>
      </c>
      <c r="AF7" s="59">
        <f t="shared" si="24"/>
        <v>0</v>
      </c>
      <c r="AG7" s="59">
        <f t="shared" si="25"/>
        <v>0</v>
      </c>
      <c r="AH7" s="59">
        <f t="shared" si="26"/>
        <v>0</v>
      </c>
      <c r="AI7" s="59">
        <f t="shared" si="27"/>
        <v>0</v>
      </c>
      <c r="AJ7" s="59">
        <f t="shared" si="28"/>
        <v>0</v>
      </c>
      <c r="AK7" s="59">
        <f t="shared" si="29"/>
        <v>0</v>
      </c>
      <c r="AL7" s="59">
        <f t="shared" si="30"/>
        <v>0</v>
      </c>
      <c r="AM7" s="59">
        <f t="shared" si="31"/>
        <v>0</v>
      </c>
      <c r="AN7" s="59">
        <f t="shared" si="32"/>
        <v>0</v>
      </c>
      <c r="AO7" s="59">
        <f t="shared" si="33"/>
        <v>0</v>
      </c>
      <c r="AP7" s="59">
        <f t="shared" si="34"/>
        <v>0</v>
      </c>
      <c r="AQ7" s="59">
        <f t="shared" si="35"/>
        <v>0</v>
      </c>
      <c r="AR7" s="59">
        <f t="shared" si="36"/>
        <v>0</v>
      </c>
      <c r="AS7" s="59">
        <f t="shared" si="37"/>
        <v>0</v>
      </c>
    </row>
    <row r="8" spans="1:45">
      <c r="A8" s="58" t="str">
        <f>'2. Investicijos'!A8</f>
        <v>4.</v>
      </c>
      <c r="B8" s="57">
        <f>'2. Investicijos'!B8</f>
        <v>0</v>
      </c>
      <c r="C8" s="59">
        <f>IF('2. Investicijos'!N8="",0,'2. Investicijos'!N8)</f>
        <v>0</v>
      </c>
      <c r="D8" s="60">
        <f>IF('2. Investicijos'!O8="",0,'2. Investicijos'!O8/100)</f>
        <v>0</v>
      </c>
      <c r="E8" s="61">
        <f>IF('2. Investicijos'!P8="",0,'2. Investicijos'!P8)</f>
        <v>0</v>
      </c>
      <c r="F8" s="59">
        <f>IFERROR('4. Metinis CAPEX'!F12/'2. Investicijos'!$H8*$C8,0)</f>
        <v>0</v>
      </c>
      <c r="G8" s="59">
        <f>IFERROR('4. Metinis CAPEX'!G12/'2. Investicijos'!$H8*$C8,0)</f>
        <v>0</v>
      </c>
      <c r="H8" s="59">
        <f>IFERROR('4. Metinis CAPEX'!H12/'2. Investicijos'!$H8*$C8,0)</f>
        <v>0</v>
      </c>
      <c r="I8" s="59">
        <f>IFERROR('4. Metinis CAPEX'!I12/'2. Investicijos'!$H8*$C8,0)</f>
        <v>0</v>
      </c>
      <c r="J8" s="59">
        <f>IFERROR('4. Metinis CAPEX'!J12/'2. Investicijos'!$H8*$C8,0)</f>
        <v>0</v>
      </c>
      <c r="K8" s="59">
        <f>IFERROR('4. Metinis CAPEX'!K12/'2. Investicijos'!$H8*$C8,0)</f>
        <v>0</v>
      </c>
      <c r="L8" s="59">
        <f>IFERROR('4. Metinis CAPEX'!L12/'2. Investicijos'!$H8*$C8,0)</f>
        <v>0</v>
      </c>
      <c r="M8" s="59">
        <f>IFERROR('4. Metinis CAPEX'!M12/'2. Investicijos'!$H8*$C8,0)</f>
        <v>0</v>
      </c>
      <c r="N8" s="59">
        <f>IFERROR('4. Metinis CAPEX'!N12/'2. Investicijos'!$H8*$C8,0)</f>
        <v>0</v>
      </c>
      <c r="O8" s="59">
        <f>IFERROR('4. Metinis CAPEX'!O12/'2. Investicijos'!$H8*$C8,0)</f>
        <v>0</v>
      </c>
      <c r="P8" s="59" cm="1">
        <f t="array" ref="P8">IF($E8=0,0,SUMPRODUCT(($F$4:$O$4&lt;P$4)*($F$4:$O$4&gt;=P$4-$E8)*($F8:$O8/$E8)))</f>
        <v>0</v>
      </c>
      <c r="Q8" s="59" cm="1">
        <f t="array" ref="Q8">IF($E8=0,0,SUMPRODUCT(($F$4:$O$4&lt;Q$4)*($F$4:$O$4&gt;=Q$4-$E8)*($F8:$O8/$E8)))</f>
        <v>0</v>
      </c>
      <c r="R8" s="59" cm="1">
        <f t="array" ref="R8">IF($E8=0,0,SUMPRODUCT(($F$4:$O$4&lt;R$4)*($F$4:$O$4&gt;=R$4-$E8)*($F8:$O8/$E8)))</f>
        <v>0</v>
      </c>
      <c r="S8" s="59" cm="1">
        <f t="array" ref="S8">IF($E8=0,0,SUMPRODUCT(($F$4:$O$4&lt;S$4)*($F$4:$O$4&gt;=S$4-$E8)*($F8:$O8/$E8)))</f>
        <v>0</v>
      </c>
      <c r="T8" s="59" cm="1">
        <f t="array" ref="T8">IF($E8=0,0,SUMPRODUCT(($F$4:$O$4&lt;T$4)*($F$4:$O$4&gt;=T$4-$E8)*($F8:$O8/$E8)))</f>
        <v>0</v>
      </c>
      <c r="U8" s="59" cm="1">
        <f t="array" ref="U8">IF($E8=0,0,SUMPRODUCT(($F$4:$O$4&lt;U$4)*($F$4:$O$4&gt;=U$4-$E8)*($F8:$O8/$E8)))</f>
        <v>0</v>
      </c>
      <c r="V8" s="59" cm="1">
        <f t="array" ref="V8">IF($E8=0,0,SUMPRODUCT(($F$4:$O$4&lt;V$4)*($F$4:$O$4&gt;=V$4-$E8)*($F8:$O8/$E8)))</f>
        <v>0</v>
      </c>
      <c r="W8" s="59" cm="1">
        <f t="array" ref="W8">IF($E8=0,0,SUMPRODUCT(($F$4:$O$4&lt;W$4)*($F$4:$O$4&gt;=W$4-$E8)*($F8:$O8/$E8)))</f>
        <v>0</v>
      </c>
      <c r="X8" s="59" cm="1">
        <f t="array" ref="X8">IF($E8=0,0,SUMPRODUCT(($F$4:$O$4&lt;X$4)*($F$4:$O$4&gt;=X$4-$E8)*($F8:$O8/$E8)))</f>
        <v>0</v>
      </c>
      <c r="Y8" s="59" cm="1">
        <f t="array" ref="Y8">IF($E8=0,0,SUMPRODUCT(($F$4:$O$4&lt;Y$4)*($F$4:$O$4&gt;=Y$4-$E8)*($F8:$O8/$E8)))</f>
        <v>0</v>
      </c>
      <c r="Z8" s="59">
        <f>0</f>
        <v>0</v>
      </c>
      <c r="AA8" s="59">
        <f t="shared" si="19"/>
        <v>0</v>
      </c>
      <c r="AB8" s="59">
        <f t="shared" si="20"/>
        <v>0</v>
      </c>
      <c r="AC8" s="59">
        <f t="shared" si="21"/>
        <v>0</v>
      </c>
      <c r="AD8" s="59">
        <f t="shared" si="22"/>
        <v>0</v>
      </c>
      <c r="AE8" s="59">
        <f t="shared" si="23"/>
        <v>0</v>
      </c>
      <c r="AF8" s="59">
        <f t="shared" si="24"/>
        <v>0</v>
      </c>
      <c r="AG8" s="59">
        <f t="shared" si="25"/>
        <v>0</v>
      </c>
      <c r="AH8" s="59">
        <f t="shared" si="26"/>
        <v>0</v>
      </c>
      <c r="AI8" s="59">
        <f t="shared" si="27"/>
        <v>0</v>
      </c>
      <c r="AJ8" s="59">
        <f t="shared" si="28"/>
        <v>0</v>
      </c>
      <c r="AK8" s="59">
        <f t="shared" si="29"/>
        <v>0</v>
      </c>
      <c r="AL8" s="59">
        <f t="shared" si="30"/>
        <v>0</v>
      </c>
      <c r="AM8" s="59">
        <f t="shared" si="31"/>
        <v>0</v>
      </c>
      <c r="AN8" s="59">
        <f t="shared" si="32"/>
        <v>0</v>
      </c>
      <c r="AO8" s="59">
        <f t="shared" si="33"/>
        <v>0</v>
      </c>
      <c r="AP8" s="59">
        <f t="shared" si="34"/>
        <v>0</v>
      </c>
      <c r="AQ8" s="59">
        <f t="shared" si="35"/>
        <v>0</v>
      </c>
      <c r="AR8" s="59">
        <f t="shared" si="36"/>
        <v>0</v>
      </c>
      <c r="AS8" s="59">
        <f t="shared" si="37"/>
        <v>0</v>
      </c>
    </row>
    <row r="9" spans="1:45">
      <c r="A9" s="58" t="str">
        <f>'2. Investicijos'!A9</f>
        <v>5.</v>
      </c>
      <c r="B9" s="57">
        <f>'2. Investicijos'!B9</f>
        <v>0</v>
      </c>
      <c r="C9" s="59">
        <f>IF('2. Investicijos'!N9="",0,'2. Investicijos'!N9)</f>
        <v>0</v>
      </c>
      <c r="D9" s="60">
        <f>IF('2. Investicijos'!O9="",0,'2. Investicijos'!O9/100)</f>
        <v>0</v>
      </c>
      <c r="E9" s="61">
        <f>IF('2. Investicijos'!P9="",0,'2. Investicijos'!P9)</f>
        <v>0</v>
      </c>
      <c r="F9" s="59">
        <f>IFERROR('4. Metinis CAPEX'!F13/'2. Investicijos'!$H9*$C9,0)</f>
        <v>0</v>
      </c>
      <c r="G9" s="59">
        <f>IFERROR('4. Metinis CAPEX'!G13/'2. Investicijos'!$H9*$C9,0)</f>
        <v>0</v>
      </c>
      <c r="H9" s="59">
        <f>IFERROR('4. Metinis CAPEX'!H13/'2. Investicijos'!$H9*$C9,0)</f>
        <v>0</v>
      </c>
      <c r="I9" s="59">
        <f>IFERROR('4. Metinis CAPEX'!I13/'2. Investicijos'!$H9*$C9,0)</f>
        <v>0</v>
      </c>
      <c r="J9" s="59">
        <f>IFERROR('4. Metinis CAPEX'!J13/'2. Investicijos'!$H9*$C9,0)</f>
        <v>0</v>
      </c>
      <c r="K9" s="59">
        <f>IFERROR('4. Metinis CAPEX'!K13/'2. Investicijos'!$H9*$C9,0)</f>
        <v>0</v>
      </c>
      <c r="L9" s="59">
        <f>IFERROR('4. Metinis CAPEX'!L13/'2. Investicijos'!$H9*$C9,0)</f>
        <v>0</v>
      </c>
      <c r="M9" s="59">
        <f>IFERROR('4. Metinis CAPEX'!M13/'2. Investicijos'!$H9*$C9,0)</f>
        <v>0</v>
      </c>
      <c r="N9" s="59">
        <f>IFERROR('4. Metinis CAPEX'!N13/'2. Investicijos'!$H9*$C9,0)</f>
        <v>0</v>
      </c>
      <c r="O9" s="59">
        <f>IFERROR('4. Metinis CAPEX'!O13/'2. Investicijos'!$H9*$C9,0)</f>
        <v>0</v>
      </c>
      <c r="P9" s="59" cm="1">
        <f t="array" ref="P9">IF($E9=0,0,SUMPRODUCT(($F$4:$O$4&lt;P$4)*($F$4:$O$4&gt;=P$4-$E9)*($F9:$O9/$E9)))</f>
        <v>0</v>
      </c>
      <c r="Q9" s="59" cm="1">
        <f t="array" ref="Q9">IF($E9=0,0,SUMPRODUCT(($F$4:$O$4&lt;Q$4)*($F$4:$O$4&gt;=Q$4-$E9)*($F9:$O9/$E9)))</f>
        <v>0</v>
      </c>
      <c r="R9" s="59" cm="1">
        <f t="array" ref="R9">IF($E9=0,0,SUMPRODUCT(($F$4:$O$4&lt;R$4)*($F$4:$O$4&gt;=R$4-$E9)*($F9:$O9/$E9)))</f>
        <v>0</v>
      </c>
      <c r="S9" s="59" cm="1">
        <f t="array" ref="S9">IF($E9=0,0,SUMPRODUCT(($F$4:$O$4&lt;S$4)*($F$4:$O$4&gt;=S$4-$E9)*($F9:$O9/$E9)))</f>
        <v>0</v>
      </c>
      <c r="T9" s="59" cm="1">
        <f t="array" ref="T9">IF($E9=0,0,SUMPRODUCT(($F$4:$O$4&lt;T$4)*($F$4:$O$4&gt;=T$4-$E9)*($F9:$O9/$E9)))</f>
        <v>0</v>
      </c>
      <c r="U9" s="59" cm="1">
        <f t="array" ref="U9">IF($E9=0,0,SUMPRODUCT(($F$4:$O$4&lt;U$4)*($F$4:$O$4&gt;=U$4-$E9)*($F9:$O9/$E9)))</f>
        <v>0</v>
      </c>
      <c r="V9" s="59" cm="1">
        <f t="array" ref="V9">IF($E9=0,0,SUMPRODUCT(($F$4:$O$4&lt;V$4)*($F$4:$O$4&gt;=V$4-$E9)*($F9:$O9/$E9)))</f>
        <v>0</v>
      </c>
      <c r="W9" s="59" cm="1">
        <f t="array" ref="W9">IF($E9=0,0,SUMPRODUCT(($F$4:$O$4&lt;W$4)*($F$4:$O$4&gt;=W$4-$E9)*($F9:$O9/$E9)))</f>
        <v>0</v>
      </c>
      <c r="X9" s="59" cm="1">
        <f t="array" ref="X9">IF($E9=0,0,SUMPRODUCT(($F$4:$O$4&lt;X$4)*($F$4:$O$4&gt;=X$4-$E9)*($F9:$O9/$E9)))</f>
        <v>0</v>
      </c>
      <c r="Y9" s="59" cm="1">
        <f t="array" ref="Y9">IF($E9=0,0,SUMPRODUCT(($F$4:$O$4&lt;Y$4)*($F$4:$O$4&gt;=Y$4-$E9)*($F9:$O9/$E9)))</f>
        <v>0</v>
      </c>
      <c r="Z9" s="59">
        <f>0</f>
        <v>0</v>
      </c>
      <c r="AA9" s="59">
        <f t="shared" si="19"/>
        <v>0</v>
      </c>
      <c r="AB9" s="59">
        <f t="shared" si="20"/>
        <v>0</v>
      </c>
      <c r="AC9" s="59">
        <f t="shared" si="21"/>
        <v>0</v>
      </c>
      <c r="AD9" s="59">
        <f t="shared" si="22"/>
        <v>0</v>
      </c>
      <c r="AE9" s="59">
        <f t="shared" si="23"/>
        <v>0</v>
      </c>
      <c r="AF9" s="59">
        <f t="shared" si="24"/>
        <v>0</v>
      </c>
      <c r="AG9" s="59">
        <f t="shared" si="25"/>
        <v>0</v>
      </c>
      <c r="AH9" s="59">
        <f t="shared" si="26"/>
        <v>0</v>
      </c>
      <c r="AI9" s="59">
        <f t="shared" si="27"/>
        <v>0</v>
      </c>
      <c r="AJ9" s="59">
        <f t="shared" si="28"/>
        <v>0</v>
      </c>
      <c r="AK9" s="59">
        <f t="shared" si="29"/>
        <v>0</v>
      </c>
      <c r="AL9" s="59">
        <f t="shared" si="30"/>
        <v>0</v>
      </c>
      <c r="AM9" s="59">
        <f t="shared" si="31"/>
        <v>0</v>
      </c>
      <c r="AN9" s="59">
        <f t="shared" si="32"/>
        <v>0</v>
      </c>
      <c r="AO9" s="59">
        <f t="shared" si="33"/>
        <v>0</v>
      </c>
      <c r="AP9" s="59">
        <f t="shared" si="34"/>
        <v>0</v>
      </c>
      <c r="AQ9" s="59">
        <f t="shared" si="35"/>
        <v>0</v>
      </c>
      <c r="AR9" s="59">
        <f t="shared" si="36"/>
        <v>0</v>
      </c>
      <c r="AS9" s="59">
        <f t="shared" si="37"/>
        <v>0</v>
      </c>
    </row>
    <row r="10" spans="1:45">
      <c r="A10" s="58" t="str">
        <f>'2. Investicijos'!A10</f>
        <v>6.</v>
      </c>
      <c r="B10" s="57">
        <f>'2. Investicijos'!B10</f>
        <v>0</v>
      </c>
      <c r="C10" s="59">
        <f>IF('2. Investicijos'!N10="",0,'2. Investicijos'!N10)</f>
        <v>0</v>
      </c>
      <c r="D10" s="60">
        <f>IF('2. Investicijos'!O10="",0,'2. Investicijos'!O10/100)</f>
        <v>0</v>
      </c>
      <c r="E10" s="61">
        <f>IF('2. Investicijos'!P10="",0,'2. Investicijos'!P10)</f>
        <v>0</v>
      </c>
      <c r="F10" s="59">
        <f>IFERROR('4. Metinis CAPEX'!F14/'2. Investicijos'!$H10*$C10,0)</f>
        <v>0</v>
      </c>
      <c r="G10" s="59">
        <f>IFERROR('4. Metinis CAPEX'!G14/'2. Investicijos'!$H10*$C10,0)</f>
        <v>0</v>
      </c>
      <c r="H10" s="59">
        <f>IFERROR('4. Metinis CAPEX'!H14/'2. Investicijos'!$H10*$C10,0)</f>
        <v>0</v>
      </c>
      <c r="I10" s="59">
        <f>IFERROR('4. Metinis CAPEX'!I14/'2. Investicijos'!$H10*$C10,0)</f>
        <v>0</v>
      </c>
      <c r="J10" s="59">
        <f>IFERROR('4. Metinis CAPEX'!J14/'2. Investicijos'!$H10*$C10,0)</f>
        <v>0</v>
      </c>
      <c r="K10" s="59">
        <f>IFERROR('4. Metinis CAPEX'!K14/'2. Investicijos'!$H10*$C10,0)</f>
        <v>0</v>
      </c>
      <c r="L10" s="59">
        <f>IFERROR('4. Metinis CAPEX'!L14/'2. Investicijos'!$H10*$C10,0)</f>
        <v>0</v>
      </c>
      <c r="M10" s="59">
        <f>IFERROR('4. Metinis CAPEX'!M14/'2. Investicijos'!$H10*$C10,0)</f>
        <v>0</v>
      </c>
      <c r="N10" s="59">
        <f>IFERROR('4. Metinis CAPEX'!N14/'2. Investicijos'!$H10*$C10,0)</f>
        <v>0</v>
      </c>
      <c r="O10" s="59">
        <f>IFERROR('4. Metinis CAPEX'!O14/'2. Investicijos'!$H10*$C10,0)</f>
        <v>0</v>
      </c>
      <c r="P10" s="59" cm="1">
        <f t="array" ref="P10">IF($E10=0,0,SUMPRODUCT(($F$4:$O$4&lt;P$4)*($F$4:$O$4&gt;=P$4-$E10)*($F10:$O10/$E10)))</f>
        <v>0</v>
      </c>
      <c r="Q10" s="59" cm="1">
        <f t="array" ref="Q10">IF($E10=0,0,SUMPRODUCT(($F$4:$O$4&lt;Q$4)*($F$4:$O$4&gt;=Q$4-$E10)*($F10:$O10/$E10)))</f>
        <v>0</v>
      </c>
      <c r="R10" s="59" cm="1">
        <f t="array" ref="R10">IF($E10=0,0,SUMPRODUCT(($F$4:$O$4&lt;R$4)*($F$4:$O$4&gt;=R$4-$E10)*($F10:$O10/$E10)))</f>
        <v>0</v>
      </c>
      <c r="S10" s="59" cm="1">
        <f t="array" ref="S10">IF($E10=0,0,SUMPRODUCT(($F$4:$O$4&lt;S$4)*($F$4:$O$4&gt;=S$4-$E10)*($F10:$O10/$E10)))</f>
        <v>0</v>
      </c>
      <c r="T10" s="59" cm="1">
        <f t="array" ref="T10">IF($E10=0,0,SUMPRODUCT(($F$4:$O$4&lt;T$4)*($F$4:$O$4&gt;=T$4-$E10)*($F10:$O10/$E10)))</f>
        <v>0</v>
      </c>
      <c r="U10" s="59" cm="1">
        <f t="array" ref="U10">IF($E10=0,0,SUMPRODUCT(($F$4:$O$4&lt;U$4)*($F$4:$O$4&gt;=U$4-$E10)*($F10:$O10/$E10)))</f>
        <v>0</v>
      </c>
      <c r="V10" s="59" cm="1">
        <f t="array" ref="V10">IF($E10=0,0,SUMPRODUCT(($F$4:$O$4&lt;V$4)*($F$4:$O$4&gt;=V$4-$E10)*($F10:$O10/$E10)))</f>
        <v>0</v>
      </c>
      <c r="W10" s="59" cm="1">
        <f t="array" ref="W10">IF($E10=0,0,SUMPRODUCT(($F$4:$O$4&lt;W$4)*($F$4:$O$4&gt;=W$4-$E10)*($F10:$O10/$E10)))</f>
        <v>0</v>
      </c>
      <c r="X10" s="59" cm="1">
        <f t="array" ref="X10">IF($E10=0,0,SUMPRODUCT(($F$4:$O$4&lt;X$4)*($F$4:$O$4&gt;=X$4-$E10)*($F10:$O10/$E10)))</f>
        <v>0</v>
      </c>
      <c r="Y10" s="59" cm="1">
        <f t="array" ref="Y10">IF($E10=0,0,SUMPRODUCT(($F$4:$O$4&lt;Y$4)*($F$4:$O$4&gt;=Y$4-$E10)*($F10:$O10/$E10)))</f>
        <v>0</v>
      </c>
      <c r="Z10" s="59">
        <f>0</f>
        <v>0</v>
      </c>
      <c r="AA10" s="59">
        <f t="shared" si="19"/>
        <v>0</v>
      </c>
      <c r="AB10" s="59">
        <f t="shared" si="20"/>
        <v>0</v>
      </c>
      <c r="AC10" s="59">
        <f t="shared" si="21"/>
        <v>0</v>
      </c>
      <c r="AD10" s="59">
        <f t="shared" si="22"/>
        <v>0</v>
      </c>
      <c r="AE10" s="59">
        <f t="shared" si="23"/>
        <v>0</v>
      </c>
      <c r="AF10" s="59">
        <f t="shared" si="24"/>
        <v>0</v>
      </c>
      <c r="AG10" s="59">
        <f t="shared" si="25"/>
        <v>0</v>
      </c>
      <c r="AH10" s="59">
        <f t="shared" si="26"/>
        <v>0</v>
      </c>
      <c r="AI10" s="59">
        <f t="shared" si="27"/>
        <v>0</v>
      </c>
      <c r="AJ10" s="59">
        <f t="shared" si="28"/>
        <v>0</v>
      </c>
      <c r="AK10" s="59">
        <f t="shared" si="29"/>
        <v>0</v>
      </c>
      <c r="AL10" s="59">
        <f t="shared" si="30"/>
        <v>0</v>
      </c>
      <c r="AM10" s="59">
        <f t="shared" si="31"/>
        <v>0</v>
      </c>
      <c r="AN10" s="59">
        <f t="shared" si="32"/>
        <v>0</v>
      </c>
      <c r="AO10" s="59">
        <f t="shared" si="33"/>
        <v>0</v>
      </c>
      <c r="AP10" s="59">
        <f t="shared" si="34"/>
        <v>0</v>
      </c>
      <c r="AQ10" s="59">
        <f t="shared" si="35"/>
        <v>0</v>
      </c>
      <c r="AR10" s="59">
        <f t="shared" si="36"/>
        <v>0</v>
      </c>
      <c r="AS10" s="59">
        <f t="shared" si="37"/>
        <v>0</v>
      </c>
    </row>
    <row r="11" spans="1:45">
      <c r="A11" s="58" t="str">
        <f>'2. Investicijos'!A11</f>
        <v>7.</v>
      </c>
      <c r="B11" s="57">
        <f>'2. Investicijos'!B11</f>
        <v>0</v>
      </c>
      <c r="C11" s="59">
        <f>IF('2. Investicijos'!N11="",0,'2. Investicijos'!N11)</f>
        <v>0</v>
      </c>
      <c r="D11" s="60">
        <f>IF('2. Investicijos'!O11="",0,'2. Investicijos'!O11/100)</f>
        <v>0</v>
      </c>
      <c r="E11" s="61">
        <f>IF('2. Investicijos'!P11="",0,'2. Investicijos'!P11)</f>
        <v>0</v>
      </c>
      <c r="F11" s="59">
        <f>IFERROR('4. Metinis CAPEX'!F15/'2. Investicijos'!$H11*$C11,0)</f>
        <v>0</v>
      </c>
      <c r="G11" s="59">
        <f>IFERROR('4. Metinis CAPEX'!G15/'2. Investicijos'!$H11*$C11,0)</f>
        <v>0</v>
      </c>
      <c r="H11" s="59">
        <f>IFERROR('4. Metinis CAPEX'!H15/'2. Investicijos'!$H11*$C11,0)</f>
        <v>0</v>
      </c>
      <c r="I11" s="59">
        <f>IFERROR('4. Metinis CAPEX'!I15/'2. Investicijos'!$H11*$C11,0)</f>
        <v>0</v>
      </c>
      <c r="J11" s="59">
        <f>IFERROR('4. Metinis CAPEX'!J15/'2. Investicijos'!$H11*$C11,0)</f>
        <v>0</v>
      </c>
      <c r="K11" s="59">
        <f>IFERROR('4. Metinis CAPEX'!K15/'2. Investicijos'!$H11*$C11,0)</f>
        <v>0</v>
      </c>
      <c r="L11" s="59">
        <f>IFERROR('4. Metinis CAPEX'!L15/'2. Investicijos'!$H11*$C11,0)</f>
        <v>0</v>
      </c>
      <c r="M11" s="59">
        <f>IFERROR('4. Metinis CAPEX'!M15/'2. Investicijos'!$H11*$C11,0)</f>
        <v>0</v>
      </c>
      <c r="N11" s="59">
        <f>IFERROR('4. Metinis CAPEX'!N15/'2. Investicijos'!$H11*$C11,0)</f>
        <v>0</v>
      </c>
      <c r="O11" s="59">
        <f>IFERROR('4. Metinis CAPEX'!O15/'2. Investicijos'!$H11*$C11,0)</f>
        <v>0</v>
      </c>
      <c r="P11" s="59" cm="1">
        <f t="array" ref="P11">IF($E11=0,0,SUMPRODUCT(($F$4:$O$4&lt;P$4)*($F$4:$O$4&gt;=P$4-$E11)*($F11:$O11/$E11)))</f>
        <v>0</v>
      </c>
      <c r="Q11" s="59" cm="1">
        <f t="array" ref="Q11">IF($E11=0,0,SUMPRODUCT(($F$4:$O$4&lt;Q$4)*($F$4:$O$4&gt;=Q$4-$E11)*($F11:$O11/$E11)))</f>
        <v>0</v>
      </c>
      <c r="R11" s="59" cm="1">
        <f t="array" ref="R11">IF($E11=0,0,SUMPRODUCT(($F$4:$O$4&lt;R$4)*($F$4:$O$4&gt;=R$4-$E11)*($F11:$O11/$E11)))</f>
        <v>0</v>
      </c>
      <c r="S11" s="59" cm="1">
        <f t="array" ref="S11">IF($E11=0,0,SUMPRODUCT(($F$4:$O$4&lt;S$4)*($F$4:$O$4&gt;=S$4-$E11)*($F11:$O11/$E11)))</f>
        <v>0</v>
      </c>
      <c r="T11" s="59" cm="1">
        <f t="array" ref="T11">IF($E11=0,0,SUMPRODUCT(($F$4:$O$4&lt;T$4)*($F$4:$O$4&gt;=T$4-$E11)*($F11:$O11/$E11)))</f>
        <v>0</v>
      </c>
      <c r="U11" s="59" cm="1">
        <f t="array" ref="U11">IF($E11=0,0,SUMPRODUCT(($F$4:$O$4&lt;U$4)*($F$4:$O$4&gt;=U$4-$E11)*($F11:$O11/$E11)))</f>
        <v>0</v>
      </c>
      <c r="V11" s="59" cm="1">
        <f t="array" ref="V11">IF($E11=0,0,SUMPRODUCT(($F$4:$O$4&lt;V$4)*($F$4:$O$4&gt;=V$4-$E11)*($F11:$O11/$E11)))</f>
        <v>0</v>
      </c>
      <c r="W11" s="59" cm="1">
        <f t="array" ref="W11">IF($E11=0,0,SUMPRODUCT(($F$4:$O$4&lt;W$4)*($F$4:$O$4&gt;=W$4-$E11)*($F11:$O11/$E11)))</f>
        <v>0</v>
      </c>
      <c r="X11" s="59" cm="1">
        <f t="array" ref="X11">IF($E11=0,0,SUMPRODUCT(($F$4:$O$4&lt;X$4)*($F$4:$O$4&gt;=X$4-$E11)*($F11:$O11/$E11)))</f>
        <v>0</v>
      </c>
      <c r="Y11" s="59" cm="1">
        <f t="array" ref="Y11">IF($E11=0,0,SUMPRODUCT(($F$4:$O$4&lt;Y$4)*($F$4:$O$4&gt;=Y$4-$E11)*($F11:$O11/$E11)))</f>
        <v>0</v>
      </c>
      <c r="Z11" s="59">
        <f>0</f>
        <v>0</v>
      </c>
      <c r="AA11" s="59">
        <f t="shared" si="19"/>
        <v>0</v>
      </c>
      <c r="AB11" s="59">
        <f t="shared" si="20"/>
        <v>0</v>
      </c>
      <c r="AC11" s="59">
        <f t="shared" si="21"/>
        <v>0</v>
      </c>
      <c r="AD11" s="59">
        <f t="shared" si="22"/>
        <v>0</v>
      </c>
      <c r="AE11" s="59">
        <f t="shared" si="23"/>
        <v>0</v>
      </c>
      <c r="AF11" s="59">
        <f t="shared" si="24"/>
        <v>0</v>
      </c>
      <c r="AG11" s="59">
        <f t="shared" si="25"/>
        <v>0</v>
      </c>
      <c r="AH11" s="59">
        <f t="shared" si="26"/>
        <v>0</v>
      </c>
      <c r="AI11" s="59">
        <f t="shared" si="27"/>
        <v>0</v>
      </c>
      <c r="AJ11" s="59">
        <f t="shared" si="28"/>
        <v>0</v>
      </c>
      <c r="AK11" s="59">
        <f t="shared" si="29"/>
        <v>0</v>
      </c>
      <c r="AL11" s="59">
        <f t="shared" si="30"/>
        <v>0</v>
      </c>
      <c r="AM11" s="59">
        <f t="shared" si="31"/>
        <v>0</v>
      </c>
      <c r="AN11" s="59">
        <f t="shared" si="32"/>
        <v>0</v>
      </c>
      <c r="AO11" s="59">
        <f t="shared" si="33"/>
        <v>0</v>
      </c>
      <c r="AP11" s="59">
        <f t="shared" si="34"/>
        <v>0</v>
      </c>
      <c r="AQ11" s="59">
        <f t="shared" si="35"/>
        <v>0</v>
      </c>
      <c r="AR11" s="59">
        <f t="shared" si="36"/>
        <v>0</v>
      </c>
      <c r="AS11" s="59">
        <f t="shared" si="37"/>
        <v>0</v>
      </c>
    </row>
    <row r="12" spans="1:45">
      <c r="A12" s="58" t="str">
        <f>'2. Investicijos'!A12</f>
        <v>8.</v>
      </c>
      <c r="B12" s="57">
        <f>'2. Investicijos'!B12</f>
        <v>0</v>
      </c>
      <c r="C12" s="59">
        <f>IF('2. Investicijos'!N12="",0,'2. Investicijos'!N12)</f>
        <v>0</v>
      </c>
      <c r="D12" s="60">
        <f>IF('2. Investicijos'!O12="",0,'2. Investicijos'!O12/100)</f>
        <v>0</v>
      </c>
      <c r="E12" s="61">
        <f>IF('2. Investicijos'!P12="",0,'2. Investicijos'!P12)</f>
        <v>0</v>
      </c>
      <c r="F12" s="59">
        <f>IFERROR('4. Metinis CAPEX'!F16/'2. Investicijos'!$H12*$C12,0)</f>
        <v>0</v>
      </c>
      <c r="G12" s="59">
        <f>IFERROR('4. Metinis CAPEX'!G16/'2. Investicijos'!$H12*$C12,0)</f>
        <v>0</v>
      </c>
      <c r="H12" s="59">
        <f>IFERROR('4. Metinis CAPEX'!H16/'2. Investicijos'!$H12*$C12,0)</f>
        <v>0</v>
      </c>
      <c r="I12" s="59">
        <f>IFERROR('4. Metinis CAPEX'!I16/'2. Investicijos'!$H12*$C12,0)</f>
        <v>0</v>
      </c>
      <c r="J12" s="59">
        <f>IFERROR('4. Metinis CAPEX'!J16/'2. Investicijos'!$H12*$C12,0)</f>
        <v>0</v>
      </c>
      <c r="K12" s="59">
        <f>IFERROR('4. Metinis CAPEX'!K16/'2. Investicijos'!$H12*$C12,0)</f>
        <v>0</v>
      </c>
      <c r="L12" s="59">
        <f>IFERROR('4. Metinis CAPEX'!L16/'2. Investicijos'!$H12*$C12,0)</f>
        <v>0</v>
      </c>
      <c r="M12" s="59">
        <f>IFERROR('4. Metinis CAPEX'!M16/'2. Investicijos'!$H12*$C12,0)</f>
        <v>0</v>
      </c>
      <c r="N12" s="59">
        <f>IFERROR('4. Metinis CAPEX'!N16/'2. Investicijos'!$H12*$C12,0)</f>
        <v>0</v>
      </c>
      <c r="O12" s="59">
        <f>IFERROR('4. Metinis CAPEX'!O16/'2. Investicijos'!$H12*$C12,0)</f>
        <v>0</v>
      </c>
      <c r="P12" s="59" cm="1">
        <f t="array" ref="P12">IF($E12=0,0,SUMPRODUCT(($F$4:$O$4&lt;P$4)*($F$4:$O$4&gt;=P$4-$E12)*($F12:$O12/$E12)))</f>
        <v>0</v>
      </c>
      <c r="Q12" s="59" cm="1">
        <f t="array" ref="Q12">IF($E12=0,0,SUMPRODUCT(($F$4:$O$4&lt;Q$4)*($F$4:$O$4&gt;=Q$4-$E12)*($F12:$O12/$E12)))</f>
        <v>0</v>
      </c>
      <c r="R12" s="59" cm="1">
        <f t="array" ref="R12">IF($E12=0,0,SUMPRODUCT(($F$4:$O$4&lt;R$4)*($F$4:$O$4&gt;=R$4-$E12)*($F12:$O12/$E12)))</f>
        <v>0</v>
      </c>
      <c r="S12" s="59" cm="1">
        <f t="array" ref="S12">IF($E12=0,0,SUMPRODUCT(($F$4:$O$4&lt;S$4)*($F$4:$O$4&gt;=S$4-$E12)*($F12:$O12/$E12)))</f>
        <v>0</v>
      </c>
      <c r="T12" s="59" cm="1">
        <f t="array" ref="T12">IF($E12=0,0,SUMPRODUCT(($F$4:$O$4&lt;T$4)*($F$4:$O$4&gt;=T$4-$E12)*($F12:$O12/$E12)))</f>
        <v>0</v>
      </c>
      <c r="U12" s="59" cm="1">
        <f t="array" ref="U12">IF($E12=0,0,SUMPRODUCT(($F$4:$O$4&lt;U$4)*($F$4:$O$4&gt;=U$4-$E12)*($F12:$O12/$E12)))</f>
        <v>0</v>
      </c>
      <c r="V12" s="59" cm="1">
        <f t="array" ref="V12">IF($E12=0,0,SUMPRODUCT(($F$4:$O$4&lt;V$4)*($F$4:$O$4&gt;=V$4-$E12)*($F12:$O12/$E12)))</f>
        <v>0</v>
      </c>
      <c r="W12" s="59" cm="1">
        <f t="array" ref="W12">IF($E12=0,0,SUMPRODUCT(($F$4:$O$4&lt;W$4)*($F$4:$O$4&gt;=W$4-$E12)*($F12:$O12/$E12)))</f>
        <v>0</v>
      </c>
      <c r="X12" s="59" cm="1">
        <f t="array" ref="X12">IF($E12=0,0,SUMPRODUCT(($F$4:$O$4&lt;X$4)*($F$4:$O$4&gt;=X$4-$E12)*($F12:$O12/$E12)))</f>
        <v>0</v>
      </c>
      <c r="Y12" s="59" cm="1">
        <f t="array" ref="Y12">IF($E12=0,0,SUMPRODUCT(($F$4:$O$4&lt;Y$4)*($F$4:$O$4&gt;=Y$4-$E12)*($F12:$O12/$E12)))</f>
        <v>0</v>
      </c>
      <c r="Z12" s="59">
        <f>0</f>
        <v>0</v>
      </c>
      <c r="AA12" s="59">
        <f t="shared" si="19"/>
        <v>0</v>
      </c>
      <c r="AB12" s="59">
        <f t="shared" si="20"/>
        <v>0</v>
      </c>
      <c r="AC12" s="59">
        <f t="shared" si="21"/>
        <v>0</v>
      </c>
      <c r="AD12" s="59">
        <f t="shared" si="22"/>
        <v>0</v>
      </c>
      <c r="AE12" s="59">
        <f t="shared" si="23"/>
        <v>0</v>
      </c>
      <c r="AF12" s="59">
        <f t="shared" si="24"/>
        <v>0</v>
      </c>
      <c r="AG12" s="59">
        <f t="shared" si="25"/>
        <v>0</v>
      </c>
      <c r="AH12" s="59">
        <f t="shared" si="26"/>
        <v>0</v>
      </c>
      <c r="AI12" s="59">
        <f t="shared" si="27"/>
        <v>0</v>
      </c>
      <c r="AJ12" s="59">
        <f t="shared" si="28"/>
        <v>0</v>
      </c>
      <c r="AK12" s="59">
        <f t="shared" si="29"/>
        <v>0</v>
      </c>
      <c r="AL12" s="59">
        <f t="shared" si="30"/>
        <v>0</v>
      </c>
      <c r="AM12" s="59">
        <f t="shared" si="31"/>
        <v>0</v>
      </c>
      <c r="AN12" s="59">
        <f t="shared" si="32"/>
        <v>0</v>
      </c>
      <c r="AO12" s="59">
        <f t="shared" si="33"/>
        <v>0</v>
      </c>
      <c r="AP12" s="59">
        <f t="shared" si="34"/>
        <v>0</v>
      </c>
      <c r="AQ12" s="59">
        <f t="shared" si="35"/>
        <v>0</v>
      </c>
      <c r="AR12" s="59">
        <f t="shared" si="36"/>
        <v>0</v>
      </c>
      <c r="AS12" s="59">
        <f t="shared" si="37"/>
        <v>0</v>
      </c>
    </row>
    <row r="13" spans="1:45">
      <c r="A13" s="58" t="str">
        <f>'2. Investicijos'!A13</f>
        <v>9.</v>
      </c>
      <c r="B13" s="57">
        <f>'2. Investicijos'!B13</f>
        <v>0</v>
      </c>
      <c r="C13" s="59">
        <f>IF('2. Investicijos'!N13="",0,'2. Investicijos'!N13)</f>
        <v>0</v>
      </c>
      <c r="D13" s="60">
        <f>IF('2. Investicijos'!O13="",0,'2. Investicijos'!O13/100)</f>
        <v>0</v>
      </c>
      <c r="E13" s="61">
        <f>IF('2. Investicijos'!P13="",0,'2. Investicijos'!P13)</f>
        <v>0</v>
      </c>
      <c r="F13" s="59">
        <f>IFERROR('4. Metinis CAPEX'!F17/'2. Investicijos'!$H13*$C13,0)</f>
        <v>0</v>
      </c>
      <c r="G13" s="59">
        <f>IFERROR('4. Metinis CAPEX'!G17/'2. Investicijos'!$H13*$C13,0)</f>
        <v>0</v>
      </c>
      <c r="H13" s="59">
        <f>IFERROR('4. Metinis CAPEX'!H17/'2. Investicijos'!$H13*$C13,0)</f>
        <v>0</v>
      </c>
      <c r="I13" s="59">
        <f>IFERROR('4. Metinis CAPEX'!I17/'2. Investicijos'!$H13*$C13,0)</f>
        <v>0</v>
      </c>
      <c r="J13" s="59">
        <f>IFERROR('4. Metinis CAPEX'!J17/'2. Investicijos'!$H13*$C13,0)</f>
        <v>0</v>
      </c>
      <c r="K13" s="59">
        <f>IFERROR('4. Metinis CAPEX'!K17/'2. Investicijos'!$H13*$C13,0)</f>
        <v>0</v>
      </c>
      <c r="L13" s="59">
        <f>IFERROR('4. Metinis CAPEX'!L17/'2. Investicijos'!$H13*$C13,0)</f>
        <v>0</v>
      </c>
      <c r="M13" s="59">
        <f>IFERROR('4. Metinis CAPEX'!M17/'2. Investicijos'!$H13*$C13,0)</f>
        <v>0</v>
      </c>
      <c r="N13" s="59">
        <f>IFERROR('4. Metinis CAPEX'!N17/'2. Investicijos'!$H13*$C13,0)</f>
        <v>0</v>
      </c>
      <c r="O13" s="59">
        <f>IFERROR('4. Metinis CAPEX'!O17/'2. Investicijos'!$H13*$C13,0)</f>
        <v>0</v>
      </c>
      <c r="P13" s="59" cm="1">
        <f t="array" ref="P13">IF($E13=0,0,SUMPRODUCT(($F$4:$O$4&lt;P$4)*($F$4:$O$4&gt;=P$4-$E13)*($F13:$O13/$E13)))</f>
        <v>0</v>
      </c>
      <c r="Q13" s="59" cm="1">
        <f t="array" ref="Q13">IF($E13=0,0,SUMPRODUCT(($F$4:$O$4&lt;Q$4)*($F$4:$O$4&gt;=Q$4-$E13)*($F13:$O13/$E13)))</f>
        <v>0</v>
      </c>
      <c r="R13" s="59" cm="1">
        <f t="array" ref="R13">IF($E13=0,0,SUMPRODUCT(($F$4:$O$4&lt;R$4)*($F$4:$O$4&gt;=R$4-$E13)*($F13:$O13/$E13)))</f>
        <v>0</v>
      </c>
      <c r="S13" s="59" cm="1">
        <f t="array" ref="S13">IF($E13=0,0,SUMPRODUCT(($F$4:$O$4&lt;S$4)*($F$4:$O$4&gt;=S$4-$E13)*($F13:$O13/$E13)))</f>
        <v>0</v>
      </c>
      <c r="T13" s="59" cm="1">
        <f t="array" ref="T13">IF($E13=0,0,SUMPRODUCT(($F$4:$O$4&lt;T$4)*($F$4:$O$4&gt;=T$4-$E13)*($F13:$O13/$E13)))</f>
        <v>0</v>
      </c>
      <c r="U13" s="59" cm="1">
        <f t="array" ref="U13">IF($E13=0,0,SUMPRODUCT(($F$4:$O$4&lt;U$4)*($F$4:$O$4&gt;=U$4-$E13)*($F13:$O13/$E13)))</f>
        <v>0</v>
      </c>
      <c r="V13" s="59" cm="1">
        <f t="array" ref="V13">IF($E13=0,0,SUMPRODUCT(($F$4:$O$4&lt;V$4)*($F$4:$O$4&gt;=V$4-$E13)*($F13:$O13/$E13)))</f>
        <v>0</v>
      </c>
      <c r="W13" s="59" cm="1">
        <f t="array" ref="W13">IF($E13=0,0,SUMPRODUCT(($F$4:$O$4&lt;W$4)*($F$4:$O$4&gt;=W$4-$E13)*($F13:$O13/$E13)))</f>
        <v>0</v>
      </c>
      <c r="X13" s="59" cm="1">
        <f t="array" ref="X13">IF($E13=0,0,SUMPRODUCT(($F$4:$O$4&lt;X$4)*($F$4:$O$4&gt;=X$4-$E13)*($F13:$O13/$E13)))</f>
        <v>0</v>
      </c>
      <c r="Y13" s="59" cm="1">
        <f t="array" ref="Y13">IF($E13=0,0,SUMPRODUCT(($F$4:$O$4&lt;Y$4)*($F$4:$O$4&gt;=Y$4-$E13)*($F13:$O13/$E13)))</f>
        <v>0</v>
      </c>
      <c r="Z13" s="59">
        <f>0</f>
        <v>0</v>
      </c>
      <c r="AA13" s="59">
        <f t="shared" si="19"/>
        <v>0</v>
      </c>
      <c r="AB13" s="59">
        <f t="shared" si="20"/>
        <v>0</v>
      </c>
      <c r="AC13" s="59">
        <f t="shared" si="21"/>
        <v>0</v>
      </c>
      <c r="AD13" s="59">
        <f t="shared" si="22"/>
        <v>0</v>
      </c>
      <c r="AE13" s="59">
        <f t="shared" si="23"/>
        <v>0</v>
      </c>
      <c r="AF13" s="59">
        <f t="shared" si="24"/>
        <v>0</v>
      </c>
      <c r="AG13" s="59">
        <f t="shared" si="25"/>
        <v>0</v>
      </c>
      <c r="AH13" s="59">
        <f t="shared" si="26"/>
        <v>0</v>
      </c>
      <c r="AI13" s="59">
        <f t="shared" si="27"/>
        <v>0</v>
      </c>
      <c r="AJ13" s="59">
        <f t="shared" si="28"/>
        <v>0</v>
      </c>
      <c r="AK13" s="59">
        <f t="shared" si="29"/>
        <v>0</v>
      </c>
      <c r="AL13" s="59">
        <f t="shared" si="30"/>
        <v>0</v>
      </c>
      <c r="AM13" s="59">
        <f t="shared" si="31"/>
        <v>0</v>
      </c>
      <c r="AN13" s="59">
        <f t="shared" si="32"/>
        <v>0</v>
      </c>
      <c r="AO13" s="59">
        <f t="shared" si="33"/>
        <v>0</v>
      </c>
      <c r="AP13" s="59">
        <f t="shared" si="34"/>
        <v>0</v>
      </c>
      <c r="AQ13" s="59">
        <f t="shared" si="35"/>
        <v>0</v>
      </c>
      <c r="AR13" s="59">
        <f t="shared" si="36"/>
        <v>0</v>
      </c>
      <c r="AS13" s="59">
        <f t="shared" si="37"/>
        <v>0</v>
      </c>
    </row>
    <row r="14" spans="1:45">
      <c r="A14" s="58" t="str">
        <f>'2. Investicijos'!A14</f>
        <v>10.</v>
      </c>
      <c r="B14" s="57">
        <f>'2. Investicijos'!B14</f>
        <v>0</v>
      </c>
      <c r="C14" s="59">
        <f>IF('2. Investicijos'!N14="",0,'2. Investicijos'!N14)</f>
        <v>0</v>
      </c>
      <c r="D14" s="60">
        <f>IF('2. Investicijos'!O14="",0,'2. Investicijos'!O14/100)</f>
        <v>0</v>
      </c>
      <c r="E14" s="61">
        <f>IF('2. Investicijos'!P14="",0,'2. Investicijos'!P14)</f>
        <v>0</v>
      </c>
      <c r="F14" s="59">
        <f>IFERROR('4. Metinis CAPEX'!F18/'2. Investicijos'!$H14*$C14,0)</f>
        <v>0</v>
      </c>
      <c r="G14" s="59">
        <f>IFERROR('4. Metinis CAPEX'!G18/'2. Investicijos'!$H14*$C14,0)</f>
        <v>0</v>
      </c>
      <c r="H14" s="59">
        <f>IFERROR('4. Metinis CAPEX'!H18/'2. Investicijos'!$H14*$C14,0)</f>
        <v>0</v>
      </c>
      <c r="I14" s="59">
        <f>IFERROR('4. Metinis CAPEX'!I18/'2. Investicijos'!$H14*$C14,0)</f>
        <v>0</v>
      </c>
      <c r="J14" s="59">
        <f>IFERROR('4. Metinis CAPEX'!J18/'2. Investicijos'!$H14*$C14,0)</f>
        <v>0</v>
      </c>
      <c r="K14" s="59">
        <f>IFERROR('4. Metinis CAPEX'!K18/'2. Investicijos'!$H14*$C14,0)</f>
        <v>0</v>
      </c>
      <c r="L14" s="59">
        <f>IFERROR('4. Metinis CAPEX'!L18/'2. Investicijos'!$H14*$C14,0)</f>
        <v>0</v>
      </c>
      <c r="M14" s="59">
        <f>IFERROR('4. Metinis CAPEX'!M18/'2. Investicijos'!$H14*$C14,0)</f>
        <v>0</v>
      </c>
      <c r="N14" s="59">
        <f>IFERROR('4. Metinis CAPEX'!N18/'2. Investicijos'!$H14*$C14,0)</f>
        <v>0</v>
      </c>
      <c r="O14" s="59">
        <f>IFERROR('4. Metinis CAPEX'!O18/'2. Investicijos'!$H14*$C14,0)</f>
        <v>0</v>
      </c>
      <c r="P14" s="59" cm="1">
        <f t="array" ref="P14">IF($E14=0,0,SUMPRODUCT(($F$4:$O$4&lt;P$4)*($F$4:$O$4&gt;=P$4-$E14)*($F14:$O14/$E14)))</f>
        <v>0</v>
      </c>
      <c r="Q14" s="59" cm="1">
        <f t="array" ref="Q14">IF($E14=0,0,SUMPRODUCT(($F$4:$O$4&lt;Q$4)*($F$4:$O$4&gt;=Q$4-$E14)*($F14:$O14/$E14)))</f>
        <v>0</v>
      </c>
      <c r="R14" s="59" cm="1">
        <f t="array" ref="R14">IF($E14=0,0,SUMPRODUCT(($F$4:$O$4&lt;R$4)*($F$4:$O$4&gt;=R$4-$E14)*($F14:$O14/$E14)))</f>
        <v>0</v>
      </c>
      <c r="S14" s="59" cm="1">
        <f t="array" ref="S14">IF($E14=0,0,SUMPRODUCT(($F$4:$O$4&lt;S$4)*($F$4:$O$4&gt;=S$4-$E14)*($F14:$O14/$E14)))</f>
        <v>0</v>
      </c>
      <c r="T14" s="59" cm="1">
        <f t="array" ref="T14">IF($E14=0,0,SUMPRODUCT(($F$4:$O$4&lt;T$4)*($F$4:$O$4&gt;=T$4-$E14)*($F14:$O14/$E14)))</f>
        <v>0</v>
      </c>
      <c r="U14" s="59" cm="1">
        <f t="array" ref="U14">IF($E14=0,0,SUMPRODUCT(($F$4:$O$4&lt;U$4)*($F$4:$O$4&gt;=U$4-$E14)*($F14:$O14/$E14)))</f>
        <v>0</v>
      </c>
      <c r="V14" s="59" cm="1">
        <f t="array" ref="V14">IF($E14=0,0,SUMPRODUCT(($F$4:$O$4&lt;V$4)*($F$4:$O$4&gt;=V$4-$E14)*($F14:$O14/$E14)))</f>
        <v>0</v>
      </c>
      <c r="W14" s="59" cm="1">
        <f t="array" ref="W14">IF($E14=0,0,SUMPRODUCT(($F$4:$O$4&lt;W$4)*($F$4:$O$4&gt;=W$4-$E14)*($F14:$O14/$E14)))</f>
        <v>0</v>
      </c>
      <c r="X14" s="59" cm="1">
        <f t="array" ref="X14">IF($E14=0,0,SUMPRODUCT(($F$4:$O$4&lt;X$4)*($F$4:$O$4&gt;=X$4-$E14)*($F14:$O14/$E14)))</f>
        <v>0</v>
      </c>
      <c r="Y14" s="59" cm="1">
        <f t="array" ref="Y14">IF($E14=0,0,SUMPRODUCT(($F$4:$O$4&lt;Y$4)*($F$4:$O$4&gt;=Y$4-$E14)*($F14:$O14/$E14)))</f>
        <v>0</v>
      </c>
      <c r="Z14" s="59">
        <f>0</f>
        <v>0</v>
      </c>
      <c r="AA14" s="59">
        <f t="shared" si="19"/>
        <v>0</v>
      </c>
      <c r="AB14" s="59">
        <f t="shared" si="20"/>
        <v>0</v>
      </c>
      <c r="AC14" s="59">
        <f t="shared" si="21"/>
        <v>0</v>
      </c>
      <c r="AD14" s="59">
        <f t="shared" si="22"/>
        <v>0</v>
      </c>
      <c r="AE14" s="59">
        <f t="shared" si="23"/>
        <v>0</v>
      </c>
      <c r="AF14" s="59">
        <f t="shared" si="24"/>
        <v>0</v>
      </c>
      <c r="AG14" s="59">
        <f t="shared" si="25"/>
        <v>0</v>
      </c>
      <c r="AH14" s="59">
        <f t="shared" si="26"/>
        <v>0</v>
      </c>
      <c r="AI14" s="59">
        <f t="shared" si="27"/>
        <v>0</v>
      </c>
      <c r="AJ14" s="59">
        <f t="shared" si="28"/>
        <v>0</v>
      </c>
      <c r="AK14" s="59">
        <f t="shared" si="29"/>
        <v>0</v>
      </c>
      <c r="AL14" s="59">
        <f t="shared" si="30"/>
        <v>0</v>
      </c>
      <c r="AM14" s="59">
        <f t="shared" si="31"/>
        <v>0</v>
      </c>
      <c r="AN14" s="59">
        <f t="shared" si="32"/>
        <v>0</v>
      </c>
      <c r="AO14" s="59">
        <f t="shared" si="33"/>
        <v>0</v>
      </c>
      <c r="AP14" s="59">
        <f t="shared" si="34"/>
        <v>0</v>
      </c>
      <c r="AQ14" s="59">
        <f t="shared" si="35"/>
        <v>0</v>
      </c>
      <c r="AR14" s="59">
        <f t="shared" si="36"/>
        <v>0</v>
      </c>
      <c r="AS14" s="59">
        <f t="shared" si="37"/>
        <v>0</v>
      </c>
    </row>
    <row r="15" spans="1:45">
      <c r="A15" s="58" t="str">
        <f>'2. Investicijos'!A15</f>
        <v>11.</v>
      </c>
      <c r="B15" s="57">
        <f>'2. Investicijos'!B15</f>
        <v>0</v>
      </c>
      <c r="C15" s="59">
        <f>IF('2. Investicijos'!N15="",0,'2. Investicijos'!N15)</f>
        <v>0</v>
      </c>
      <c r="D15" s="60">
        <f>IF('2. Investicijos'!O15="",0,'2. Investicijos'!O15/100)</f>
        <v>0</v>
      </c>
      <c r="E15" s="61">
        <f>IF('2. Investicijos'!P15="",0,'2. Investicijos'!P15)</f>
        <v>0</v>
      </c>
      <c r="F15" s="59">
        <f>IFERROR('4. Metinis CAPEX'!F19/'2. Investicijos'!$H15*$C15,0)</f>
        <v>0</v>
      </c>
      <c r="G15" s="59">
        <f>IFERROR('4. Metinis CAPEX'!G19/'2. Investicijos'!$H15*$C15,0)</f>
        <v>0</v>
      </c>
      <c r="H15" s="59">
        <f>IFERROR('4. Metinis CAPEX'!H19/'2. Investicijos'!$H15*$C15,0)</f>
        <v>0</v>
      </c>
      <c r="I15" s="59">
        <f>IFERROR('4. Metinis CAPEX'!I19/'2. Investicijos'!$H15*$C15,0)</f>
        <v>0</v>
      </c>
      <c r="J15" s="59">
        <f>IFERROR('4. Metinis CAPEX'!J19/'2. Investicijos'!$H15*$C15,0)</f>
        <v>0</v>
      </c>
      <c r="K15" s="59">
        <f>IFERROR('4. Metinis CAPEX'!K19/'2. Investicijos'!$H15*$C15,0)</f>
        <v>0</v>
      </c>
      <c r="L15" s="59">
        <f>IFERROR('4. Metinis CAPEX'!L19/'2. Investicijos'!$H15*$C15,0)</f>
        <v>0</v>
      </c>
      <c r="M15" s="59">
        <f>IFERROR('4. Metinis CAPEX'!M19/'2. Investicijos'!$H15*$C15,0)</f>
        <v>0</v>
      </c>
      <c r="N15" s="59">
        <f>IFERROR('4. Metinis CAPEX'!N19/'2. Investicijos'!$H15*$C15,0)</f>
        <v>0</v>
      </c>
      <c r="O15" s="59">
        <f>IFERROR('4. Metinis CAPEX'!O19/'2. Investicijos'!$H15*$C15,0)</f>
        <v>0</v>
      </c>
      <c r="P15" s="59" cm="1">
        <f t="array" ref="P15">IF($E15=0,0,SUMPRODUCT(($F$4:$O$4&lt;P$4)*($F$4:$O$4&gt;=P$4-$E15)*($F15:$O15/$E15)))</f>
        <v>0</v>
      </c>
      <c r="Q15" s="59" cm="1">
        <f t="array" ref="Q15">IF($E15=0,0,SUMPRODUCT(($F$4:$O$4&lt;Q$4)*($F$4:$O$4&gt;=Q$4-$E15)*($F15:$O15/$E15)))</f>
        <v>0</v>
      </c>
      <c r="R15" s="59" cm="1">
        <f t="array" ref="R15">IF($E15=0,0,SUMPRODUCT(($F$4:$O$4&lt;R$4)*($F$4:$O$4&gt;=R$4-$E15)*($F15:$O15/$E15)))</f>
        <v>0</v>
      </c>
      <c r="S15" s="59" cm="1">
        <f t="array" ref="S15">IF($E15=0,0,SUMPRODUCT(($F$4:$O$4&lt;S$4)*($F$4:$O$4&gt;=S$4-$E15)*($F15:$O15/$E15)))</f>
        <v>0</v>
      </c>
      <c r="T15" s="59" cm="1">
        <f t="array" ref="T15">IF($E15=0,0,SUMPRODUCT(($F$4:$O$4&lt;T$4)*($F$4:$O$4&gt;=T$4-$E15)*($F15:$O15/$E15)))</f>
        <v>0</v>
      </c>
      <c r="U15" s="59" cm="1">
        <f t="array" ref="U15">IF($E15=0,0,SUMPRODUCT(($F$4:$O$4&lt;U$4)*($F$4:$O$4&gt;=U$4-$E15)*($F15:$O15/$E15)))</f>
        <v>0</v>
      </c>
      <c r="V15" s="59" cm="1">
        <f t="array" ref="V15">IF($E15=0,0,SUMPRODUCT(($F$4:$O$4&lt;V$4)*($F$4:$O$4&gt;=V$4-$E15)*($F15:$O15/$E15)))</f>
        <v>0</v>
      </c>
      <c r="W15" s="59" cm="1">
        <f t="array" ref="W15">IF($E15=0,0,SUMPRODUCT(($F$4:$O$4&lt;W$4)*($F$4:$O$4&gt;=W$4-$E15)*($F15:$O15/$E15)))</f>
        <v>0</v>
      </c>
      <c r="X15" s="59" cm="1">
        <f t="array" ref="X15">IF($E15=0,0,SUMPRODUCT(($F$4:$O$4&lt;X$4)*($F$4:$O$4&gt;=X$4-$E15)*($F15:$O15/$E15)))</f>
        <v>0</v>
      </c>
      <c r="Y15" s="59" cm="1">
        <f t="array" ref="Y15">IF($E15=0,0,SUMPRODUCT(($F$4:$O$4&lt;Y$4)*($F$4:$O$4&gt;=Y$4-$E15)*($F15:$O15/$E15)))</f>
        <v>0</v>
      </c>
      <c r="Z15" s="59">
        <f>0</f>
        <v>0</v>
      </c>
      <c r="AA15" s="59">
        <f t="shared" si="19"/>
        <v>0</v>
      </c>
      <c r="AB15" s="59">
        <f t="shared" si="20"/>
        <v>0</v>
      </c>
      <c r="AC15" s="59">
        <f t="shared" si="21"/>
        <v>0</v>
      </c>
      <c r="AD15" s="59">
        <f t="shared" si="22"/>
        <v>0</v>
      </c>
      <c r="AE15" s="59">
        <f t="shared" si="23"/>
        <v>0</v>
      </c>
      <c r="AF15" s="59">
        <f t="shared" si="24"/>
        <v>0</v>
      </c>
      <c r="AG15" s="59">
        <f t="shared" si="25"/>
        <v>0</v>
      </c>
      <c r="AH15" s="59">
        <f t="shared" si="26"/>
        <v>0</v>
      </c>
      <c r="AI15" s="59">
        <f t="shared" si="27"/>
        <v>0</v>
      </c>
      <c r="AJ15" s="59">
        <f t="shared" si="28"/>
        <v>0</v>
      </c>
      <c r="AK15" s="59">
        <f t="shared" si="29"/>
        <v>0</v>
      </c>
      <c r="AL15" s="59">
        <f t="shared" si="30"/>
        <v>0</v>
      </c>
      <c r="AM15" s="59">
        <f t="shared" si="31"/>
        <v>0</v>
      </c>
      <c r="AN15" s="59">
        <f t="shared" si="32"/>
        <v>0</v>
      </c>
      <c r="AO15" s="59">
        <f t="shared" si="33"/>
        <v>0</v>
      </c>
      <c r="AP15" s="59">
        <f t="shared" si="34"/>
        <v>0</v>
      </c>
      <c r="AQ15" s="59">
        <f t="shared" si="35"/>
        <v>0</v>
      </c>
      <c r="AR15" s="59">
        <f t="shared" si="36"/>
        <v>0</v>
      </c>
      <c r="AS15" s="59">
        <f t="shared" si="37"/>
        <v>0</v>
      </c>
    </row>
    <row r="16" spans="1:45">
      <c r="A16" s="58" t="str">
        <f>'2. Investicijos'!A16</f>
        <v>12.</v>
      </c>
      <c r="B16" s="57">
        <f>'2. Investicijos'!B16</f>
        <v>0</v>
      </c>
      <c r="C16" s="59">
        <f>IF('2. Investicijos'!N16="",0,'2. Investicijos'!N16)</f>
        <v>0</v>
      </c>
      <c r="D16" s="60">
        <f>IF('2. Investicijos'!O16="",0,'2. Investicijos'!O16/100)</f>
        <v>0</v>
      </c>
      <c r="E16" s="61">
        <f>IF('2. Investicijos'!P16="",0,'2. Investicijos'!P16)</f>
        <v>0</v>
      </c>
      <c r="F16" s="59">
        <f>IFERROR('4. Metinis CAPEX'!F20/'2. Investicijos'!$H16*$C16,0)</f>
        <v>0</v>
      </c>
      <c r="G16" s="59">
        <f>IFERROR('4. Metinis CAPEX'!G20/'2. Investicijos'!$H16*$C16,0)</f>
        <v>0</v>
      </c>
      <c r="H16" s="59">
        <f>IFERROR('4. Metinis CAPEX'!H20/'2. Investicijos'!$H16*$C16,0)</f>
        <v>0</v>
      </c>
      <c r="I16" s="59">
        <f>IFERROR('4. Metinis CAPEX'!I20/'2. Investicijos'!$H16*$C16,0)</f>
        <v>0</v>
      </c>
      <c r="J16" s="59">
        <f>IFERROR('4. Metinis CAPEX'!J20/'2. Investicijos'!$H16*$C16,0)</f>
        <v>0</v>
      </c>
      <c r="K16" s="59">
        <f>IFERROR('4. Metinis CAPEX'!K20/'2. Investicijos'!$H16*$C16,0)</f>
        <v>0</v>
      </c>
      <c r="L16" s="59">
        <f>IFERROR('4. Metinis CAPEX'!L20/'2. Investicijos'!$H16*$C16,0)</f>
        <v>0</v>
      </c>
      <c r="M16" s="59">
        <f>IFERROR('4. Metinis CAPEX'!M20/'2. Investicijos'!$H16*$C16,0)</f>
        <v>0</v>
      </c>
      <c r="N16" s="59">
        <f>IFERROR('4. Metinis CAPEX'!N20/'2. Investicijos'!$H16*$C16,0)</f>
        <v>0</v>
      </c>
      <c r="O16" s="59">
        <f>IFERROR('4. Metinis CAPEX'!O20/'2. Investicijos'!$H16*$C16,0)</f>
        <v>0</v>
      </c>
      <c r="P16" s="59" cm="1">
        <f t="array" ref="P16">IF($E16=0,0,SUMPRODUCT(($F$4:$O$4&lt;P$4)*($F$4:$O$4&gt;=P$4-$E16)*($F16:$O16/$E16)))</f>
        <v>0</v>
      </c>
      <c r="Q16" s="59" cm="1">
        <f t="array" ref="Q16">IF($E16=0,0,SUMPRODUCT(($F$4:$O$4&lt;Q$4)*($F$4:$O$4&gt;=Q$4-$E16)*($F16:$O16/$E16)))</f>
        <v>0</v>
      </c>
      <c r="R16" s="59" cm="1">
        <f t="array" ref="R16">IF($E16=0,0,SUMPRODUCT(($F$4:$O$4&lt;R$4)*($F$4:$O$4&gt;=R$4-$E16)*($F16:$O16/$E16)))</f>
        <v>0</v>
      </c>
      <c r="S16" s="59" cm="1">
        <f t="array" ref="S16">IF($E16=0,0,SUMPRODUCT(($F$4:$O$4&lt;S$4)*($F$4:$O$4&gt;=S$4-$E16)*($F16:$O16/$E16)))</f>
        <v>0</v>
      </c>
      <c r="T16" s="59" cm="1">
        <f t="array" ref="T16">IF($E16=0,0,SUMPRODUCT(($F$4:$O$4&lt;T$4)*($F$4:$O$4&gt;=T$4-$E16)*($F16:$O16/$E16)))</f>
        <v>0</v>
      </c>
      <c r="U16" s="59" cm="1">
        <f t="array" ref="U16">IF($E16=0,0,SUMPRODUCT(($F$4:$O$4&lt;U$4)*($F$4:$O$4&gt;=U$4-$E16)*($F16:$O16/$E16)))</f>
        <v>0</v>
      </c>
      <c r="V16" s="59" cm="1">
        <f t="array" ref="V16">IF($E16=0,0,SUMPRODUCT(($F$4:$O$4&lt;V$4)*($F$4:$O$4&gt;=V$4-$E16)*($F16:$O16/$E16)))</f>
        <v>0</v>
      </c>
      <c r="W16" s="59" cm="1">
        <f t="array" ref="W16">IF($E16=0,0,SUMPRODUCT(($F$4:$O$4&lt;W$4)*($F$4:$O$4&gt;=W$4-$E16)*($F16:$O16/$E16)))</f>
        <v>0</v>
      </c>
      <c r="X16" s="59" cm="1">
        <f t="array" ref="X16">IF($E16=0,0,SUMPRODUCT(($F$4:$O$4&lt;X$4)*($F$4:$O$4&gt;=X$4-$E16)*($F16:$O16/$E16)))</f>
        <v>0</v>
      </c>
      <c r="Y16" s="59" cm="1">
        <f t="array" ref="Y16">IF($E16=0,0,SUMPRODUCT(($F$4:$O$4&lt;Y$4)*($F$4:$O$4&gt;=Y$4-$E16)*($F16:$O16/$E16)))</f>
        <v>0</v>
      </c>
      <c r="Z16" s="59">
        <f>0</f>
        <v>0</v>
      </c>
      <c r="AA16" s="59">
        <f t="shared" si="19"/>
        <v>0</v>
      </c>
      <c r="AB16" s="59">
        <f t="shared" si="20"/>
        <v>0</v>
      </c>
      <c r="AC16" s="59">
        <f t="shared" si="21"/>
        <v>0</v>
      </c>
      <c r="AD16" s="59">
        <f t="shared" si="22"/>
        <v>0</v>
      </c>
      <c r="AE16" s="59">
        <f t="shared" si="23"/>
        <v>0</v>
      </c>
      <c r="AF16" s="59">
        <f t="shared" si="24"/>
        <v>0</v>
      </c>
      <c r="AG16" s="59">
        <f t="shared" si="25"/>
        <v>0</v>
      </c>
      <c r="AH16" s="59">
        <f t="shared" si="26"/>
        <v>0</v>
      </c>
      <c r="AI16" s="59">
        <f t="shared" si="27"/>
        <v>0</v>
      </c>
      <c r="AJ16" s="59">
        <f t="shared" si="28"/>
        <v>0</v>
      </c>
      <c r="AK16" s="59">
        <f t="shared" si="29"/>
        <v>0</v>
      </c>
      <c r="AL16" s="59">
        <f t="shared" si="30"/>
        <v>0</v>
      </c>
      <c r="AM16" s="59">
        <f t="shared" si="31"/>
        <v>0</v>
      </c>
      <c r="AN16" s="59">
        <f t="shared" si="32"/>
        <v>0</v>
      </c>
      <c r="AO16" s="59">
        <f t="shared" si="33"/>
        <v>0</v>
      </c>
      <c r="AP16" s="59">
        <f t="shared" si="34"/>
        <v>0</v>
      </c>
      <c r="AQ16" s="59">
        <f t="shared" si="35"/>
        <v>0</v>
      </c>
      <c r="AR16" s="59">
        <f t="shared" si="36"/>
        <v>0</v>
      </c>
      <c r="AS16" s="59">
        <f t="shared" si="37"/>
        <v>0</v>
      </c>
    </row>
    <row r="17" spans="1:45">
      <c r="A17" s="58" t="str">
        <f>'2. Investicijos'!A17</f>
        <v>13.</v>
      </c>
      <c r="B17" s="57">
        <f>'2. Investicijos'!B17</f>
        <v>0</v>
      </c>
      <c r="C17" s="59">
        <f>IF('2. Investicijos'!N17="",0,'2. Investicijos'!N17)</f>
        <v>0</v>
      </c>
      <c r="D17" s="60">
        <f>IF('2. Investicijos'!O17="",0,'2. Investicijos'!O17/100)</f>
        <v>0</v>
      </c>
      <c r="E17" s="61">
        <f>IF('2. Investicijos'!P17="",0,'2. Investicijos'!P17)</f>
        <v>0</v>
      </c>
      <c r="F17" s="59">
        <f>IFERROR('4. Metinis CAPEX'!F21/'2. Investicijos'!$H17*$C17,0)</f>
        <v>0</v>
      </c>
      <c r="G17" s="59">
        <f>IFERROR('4. Metinis CAPEX'!G21/'2. Investicijos'!$H17*$C17,0)</f>
        <v>0</v>
      </c>
      <c r="H17" s="59">
        <f>IFERROR('4. Metinis CAPEX'!H21/'2. Investicijos'!$H17*$C17,0)</f>
        <v>0</v>
      </c>
      <c r="I17" s="59">
        <f>IFERROR('4. Metinis CAPEX'!I21/'2. Investicijos'!$H17*$C17,0)</f>
        <v>0</v>
      </c>
      <c r="J17" s="59">
        <f>IFERROR('4. Metinis CAPEX'!J21/'2. Investicijos'!$H17*$C17,0)</f>
        <v>0</v>
      </c>
      <c r="K17" s="59">
        <f>IFERROR('4. Metinis CAPEX'!K21/'2. Investicijos'!$H17*$C17,0)</f>
        <v>0</v>
      </c>
      <c r="L17" s="59">
        <f>IFERROR('4. Metinis CAPEX'!L21/'2. Investicijos'!$H17*$C17,0)</f>
        <v>0</v>
      </c>
      <c r="M17" s="59">
        <f>IFERROR('4. Metinis CAPEX'!M21/'2. Investicijos'!$H17*$C17,0)</f>
        <v>0</v>
      </c>
      <c r="N17" s="59">
        <f>IFERROR('4. Metinis CAPEX'!N21/'2. Investicijos'!$H17*$C17,0)</f>
        <v>0</v>
      </c>
      <c r="O17" s="59">
        <f>IFERROR('4. Metinis CAPEX'!O21/'2. Investicijos'!$H17*$C17,0)</f>
        <v>0</v>
      </c>
      <c r="P17" s="59" cm="1">
        <f t="array" ref="P17">IF($E17=0,0,SUMPRODUCT(($F$4:$O$4&lt;P$4)*($F$4:$O$4&gt;=P$4-$E17)*($F17:$O17/$E17)))</f>
        <v>0</v>
      </c>
      <c r="Q17" s="59" cm="1">
        <f t="array" ref="Q17">IF($E17=0,0,SUMPRODUCT(($F$4:$O$4&lt;Q$4)*($F$4:$O$4&gt;=Q$4-$E17)*($F17:$O17/$E17)))</f>
        <v>0</v>
      </c>
      <c r="R17" s="59" cm="1">
        <f t="array" ref="R17">IF($E17=0,0,SUMPRODUCT(($F$4:$O$4&lt;R$4)*($F$4:$O$4&gt;=R$4-$E17)*($F17:$O17/$E17)))</f>
        <v>0</v>
      </c>
      <c r="S17" s="59" cm="1">
        <f t="array" ref="S17">IF($E17=0,0,SUMPRODUCT(($F$4:$O$4&lt;S$4)*($F$4:$O$4&gt;=S$4-$E17)*($F17:$O17/$E17)))</f>
        <v>0</v>
      </c>
      <c r="T17" s="59" cm="1">
        <f t="array" ref="T17">IF($E17=0,0,SUMPRODUCT(($F$4:$O$4&lt;T$4)*($F$4:$O$4&gt;=T$4-$E17)*($F17:$O17/$E17)))</f>
        <v>0</v>
      </c>
      <c r="U17" s="59" cm="1">
        <f t="array" ref="U17">IF($E17=0,0,SUMPRODUCT(($F$4:$O$4&lt;U$4)*($F$4:$O$4&gt;=U$4-$E17)*($F17:$O17/$E17)))</f>
        <v>0</v>
      </c>
      <c r="V17" s="59" cm="1">
        <f t="array" ref="V17">IF($E17=0,0,SUMPRODUCT(($F$4:$O$4&lt;V$4)*($F$4:$O$4&gt;=V$4-$E17)*($F17:$O17/$E17)))</f>
        <v>0</v>
      </c>
      <c r="W17" s="59" cm="1">
        <f t="array" ref="W17">IF($E17=0,0,SUMPRODUCT(($F$4:$O$4&lt;W$4)*($F$4:$O$4&gt;=W$4-$E17)*($F17:$O17/$E17)))</f>
        <v>0</v>
      </c>
      <c r="X17" s="59" cm="1">
        <f t="array" ref="X17">IF($E17=0,0,SUMPRODUCT(($F$4:$O$4&lt;X$4)*($F$4:$O$4&gt;=X$4-$E17)*($F17:$O17/$E17)))</f>
        <v>0</v>
      </c>
      <c r="Y17" s="59" cm="1">
        <f t="array" ref="Y17">IF($E17=0,0,SUMPRODUCT(($F$4:$O$4&lt;Y$4)*($F$4:$O$4&gt;=Y$4-$E17)*($F17:$O17/$E17)))</f>
        <v>0</v>
      </c>
      <c r="Z17" s="59">
        <f>0</f>
        <v>0</v>
      </c>
      <c r="AA17" s="59">
        <f t="shared" si="19"/>
        <v>0</v>
      </c>
      <c r="AB17" s="59">
        <f t="shared" si="20"/>
        <v>0</v>
      </c>
      <c r="AC17" s="59">
        <f t="shared" si="21"/>
        <v>0</v>
      </c>
      <c r="AD17" s="59">
        <f t="shared" si="22"/>
        <v>0</v>
      </c>
      <c r="AE17" s="59">
        <f t="shared" si="23"/>
        <v>0</v>
      </c>
      <c r="AF17" s="59">
        <f t="shared" si="24"/>
        <v>0</v>
      </c>
      <c r="AG17" s="59">
        <f t="shared" si="25"/>
        <v>0</v>
      </c>
      <c r="AH17" s="59">
        <f t="shared" si="26"/>
        <v>0</v>
      </c>
      <c r="AI17" s="59">
        <f t="shared" si="27"/>
        <v>0</v>
      </c>
      <c r="AJ17" s="59">
        <f t="shared" si="28"/>
        <v>0</v>
      </c>
      <c r="AK17" s="59">
        <f t="shared" si="29"/>
        <v>0</v>
      </c>
      <c r="AL17" s="59">
        <f t="shared" si="30"/>
        <v>0</v>
      </c>
      <c r="AM17" s="59">
        <f t="shared" si="31"/>
        <v>0</v>
      </c>
      <c r="AN17" s="59">
        <f t="shared" si="32"/>
        <v>0</v>
      </c>
      <c r="AO17" s="59">
        <f t="shared" si="33"/>
        <v>0</v>
      </c>
      <c r="AP17" s="59">
        <f t="shared" si="34"/>
        <v>0</v>
      </c>
      <c r="AQ17" s="59">
        <f t="shared" si="35"/>
        <v>0</v>
      </c>
      <c r="AR17" s="59">
        <f t="shared" si="36"/>
        <v>0</v>
      </c>
      <c r="AS17" s="59">
        <f t="shared" si="37"/>
        <v>0</v>
      </c>
    </row>
    <row r="18" spans="1:45">
      <c r="A18" s="58" t="str">
        <f>'2. Investicijos'!A18</f>
        <v>14.</v>
      </c>
      <c r="B18" s="57">
        <f>'2. Investicijos'!B18</f>
        <v>0</v>
      </c>
      <c r="C18" s="59">
        <f>IF('2. Investicijos'!N18="",0,'2. Investicijos'!N18)</f>
        <v>0</v>
      </c>
      <c r="D18" s="60">
        <f>IF('2. Investicijos'!O18="",0,'2. Investicijos'!O18/100)</f>
        <v>0</v>
      </c>
      <c r="E18" s="61">
        <f>IF('2. Investicijos'!P18="",0,'2. Investicijos'!P18)</f>
        <v>0</v>
      </c>
      <c r="F18" s="59">
        <f>IFERROR('4. Metinis CAPEX'!F22/'2. Investicijos'!$H18*$C18,0)</f>
        <v>0</v>
      </c>
      <c r="G18" s="59">
        <f>IFERROR('4. Metinis CAPEX'!G22/'2. Investicijos'!$H18*$C18,0)</f>
        <v>0</v>
      </c>
      <c r="H18" s="59">
        <f>IFERROR('4. Metinis CAPEX'!H22/'2. Investicijos'!$H18*$C18,0)</f>
        <v>0</v>
      </c>
      <c r="I18" s="59">
        <f>IFERROR('4. Metinis CAPEX'!I22/'2. Investicijos'!$H18*$C18,0)</f>
        <v>0</v>
      </c>
      <c r="J18" s="59">
        <f>IFERROR('4. Metinis CAPEX'!J22/'2. Investicijos'!$H18*$C18,0)</f>
        <v>0</v>
      </c>
      <c r="K18" s="59">
        <f>IFERROR('4. Metinis CAPEX'!K22/'2. Investicijos'!$H18*$C18,0)</f>
        <v>0</v>
      </c>
      <c r="L18" s="59">
        <f>IFERROR('4. Metinis CAPEX'!L22/'2. Investicijos'!$H18*$C18,0)</f>
        <v>0</v>
      </c>
      <c r="M18" s="59">
        <f>IFERROR('4. Metinis CAPEX'!M22/'2. Investicijos'!$H18*$C18,0)</f>
        <v>0</v>
      </c>
      <c r="N18" s="59">
        <f>IFERROR('4. Metinis CAPEX'!N22/'2. Investicijos'!$H18*$C18,0)</f>
        <v>0</v>
      </c>
      <c r="O18" s="59">
        <f>IFERROR('4. Metinis CAPEX'!O22/'2. Investicijos'!$H18*$C18,0)</f>
        <v>0</v>
      </c>
      <c r="P18" s="59" cm="1">
        <f t="array" ref="P18">IF($E18=0,0,SUMPRODUCT(($F$4:$O$4&lt;P$4)*($F$4:$O$4&gt;=P$4-$E18)*($F18:$O18/$E18)))</f>
        <v>0</v>
      </c>
      <c r="Q18" s="59" cm="1">
        <f t="array" ref="Q18">IF($E18=0,0,SUMPRODUCT(($F$4:$O$4&lt;Q$4)*($F$4:$O$4&gt;=Q$4-$E18)*($F18:$O18/$E18)))</f>
        <v>0</v>
      </c>
      <c r="R18" s="59" cm="1">
        <f t="array" ref="R18">IF($E18=0,0,SUMPRODUCT(($F$4:$O$4&lt;R$4)*($F$4:$O$4&gt;=R$4-$E18)*($F18:$O18/$E18)))</f>
        <v>0</v>
      </c>
      <c r="S18" s="59" cm="1">
        <f t="array" ref="S18">IF($E18=0,0,SUMPRODUCT(($F$4:$O$4&lt;S$4)*($F$4:$O$4&gt;=S$4-$E18)*($F18:$O18/$E18)))</f>
        <v>0</v>
      </c>
      <c r="T18" s="59" cm="1">
        <f t="array" ref="T18">IF($E18=0,0,SUMPRODUCT(($F$4:$O$4&lt;T$4)*($F$4:$O$4&gt;=T$4-$E18)*($F18:$O18/$E18)))</f>
        <v>0</v>
      </c>
      <c r="U18" s="59" cm="1">
        <f t="array" ref="U18">IF($E18=0,0,SUMPRODUCT(($F$4:$O$4&lt;U$4)*($F$4:$O$4&gt;=U$4-$E18)*($F18:$O18/$E18)))</f>
        <v>0</v>
      </c>
      <c r="V18" s="59" cm="1">
        <f t="array" ref="V18">IF($E18=0,0,SUMPRODUCT(($F$4:$O$4&lt;V$4)*($F$4:$O$4&gt;=V$4-$E18)*($F18:$O18/$E18)))</f>
        <v>0</v>
      </c>
      <c r="W18" s="59" cm="1">
        <f t="array" ref="W18">IF($E18=0,0,SUMPRODUCT(($F$4:$O$4&lt;W$4)*($F$4:$O$4&gt;=W$4-$E18)*($F18:$O18/$E18)))</f>
        <v>0</v>
      </c>
      <c r="X18" s="59" cm="1">
        <f t="array" ref="X18">IF($E18=0,0,SUMPRODUCT(($F$4:$O$4&lt;X$4)*($F$4:$O$4&gt;=X$4-$E18)*($F18:$O18/$E18)))</f>
        <v>0</v>
      </c>
      <c r="Y18" s="59" cm="1">
        <f t="array" ref="Y18">IF($E18=0,0,SUMPRODUCT(($F$4:$O$4&lt;Y$4)*($F$4:$O$4&gt;=Y$4-$E18)*($F18:$O18/$E18)))</f>
        <v>0</v>
      </c>
      <c r="Z18" s="59">
        <f>0</f>
        <v>0</v>
      </c>
      <c r="AA18" s="59">
        <f t="shared" si="19"/>
        <v>0</v>
      </c>
      <c r="AB18" s="59">
        <f t="shared" si="20"/>
        <v>0</v>
      </c>
      <c r="AC18" s="59">
        <f t="shared" si="21"/>
        <v>0</v>
      </c>
      <c r="AD18" s="59">
        <f t="shared" si="22"/>
        <v>0</v>
      </c>
      <c r="AE18" s="59">
        <f t="shared" si="23"/>
        <v>0</v>
      </c>
      <c r="AF18" s="59">
        <f t="shared" si="24"/>
        <v>0</v>
      </c>
      <c r="AG18" s="59">
        <f t="shared" si="25"/>
        <v>0</v>
      </c>
      <c r="AH18" s="59">
        <f t="shared" si="26"/>
        <v>0</v>
      </c>
      <c r="AI18" s="59">
        <f t="shared" si="27"/>
        <v>0</v>
      </c>
      <c r="AJ18" s="59">
        <f t="shared" si="28"/>
        <v>0</v>
      </c>
      <c r="AK18" s="59">
        <f t="shared" si="29"/>
        <v>0</v>
      </c>
      <c r="AL18" s="59">
        <f t="shared" si="30"/>
        <v>0</v>
      </c>
      <c r="AM18" s="59">
        <f t="shared" si="31"/>
        <v>0</v>
      </c>
      <c r="AN18" s="59">
        <f t="shared" si="32"/>
        <v>0</v>
      </c>
      <c r="AO18" s="59">
        <f t="shared" si="33"/>
        <v>0</v>
      </c>
      <c r="AP18" s="59">
        <f t="shared" si="34"/>
        <v>0</v>
      </c>
      <c r="AQ18" s="59">
        <f t="shared" si="35"/>
        <v>0</v>
      </c>
      <c r="AR18" s="59">
        <f t="shared" si="36"/>
        <v>0</v>
      </c>
      <c r="AS18" s="59">
        <f t="shared" si="37"/>
        <v>0</v>
      </c>
    </row>
    <row r="19" spans="1:45">
      <c r="A19" s="58" t="str">
        <f>'2. Investicijos'!A19</f>
        <v>15.</v>
      </c>
      <c r="B19" s="57">
        <f>'2. Investicijos'!B19</f>
        <v>0</v>
      </c>
      <c r="C19" s="59">
        <f>IF('2. Investicijos'!N19="",0,'2. Investicijos'!N19)</f>
        <v>0</v>
      </c>
      <c r="D19" s="60">
        <f>IF('2. Investicijos'!O19="",0,'2. Investicijos'!O19/100)</f>
        <v>0</v>
      </c>
      <c r="E19" s="61">
        <f>IF('2. Investicijos'!P19="",0,'2. Investicijos'!P19)</f>
        <v>0</v>
      </c>
      <c r="F19" s="59">
        <f>IFERROR('4. Metinis CAPEX'!F23/'2. Investicijos'!$H19*$C19,0)</f>
        <v>0</v>
      </c>
      <c r="G19" s="59">
        <f>IFERROR('4. Metinis CAPEX'!G23/'2. Investicijos'!$H19*$C19,0)</f>
        <v>0</v>
      </c>
      <c r="H19" s="59">
        <f>IFERROR('4. Metinis CAPEX'!H23/'2. Investicijos'!$H19*$C19,0)</f>
        <v>0</v>
      </c>
      <c r="I19" s="59">
        <f>IFERROR('4. Metinis CAPEX'!I23/'2. Investicijos'!$H19*$C19,0)</f>
        <v>0</v>
      </c>
      <c r="J19" s="59">
        <f>IFERROR('4. Metinis CAPEX'!J23/'2. Investicijos'!$H19*$C19,0)</f>
        <v>0</v>
      </c>
      <c r="K19" s="59">
        <f>IFERROR('4. Metinis CAPEX'!K23/'2. Investicijos'!$H19*$C19,0)</f>
        <v>0</v>
      </c>
      <c r="L19" s="59">
        <f>IFERROR('4. Metinis CAPEX'!L23/'2. Investicijos'!$H19*$C19,0)</f>
        <v>0</v>
      </c>
      <c r="M19" s="59">
        <f>IFERROR('4. Metinis CAPEX'!M23/'2. Investicijos'!$H19*$C19,0)</f>
        <v>0</v>
      </c>
      <c r="N19" s="59">
        <f>IFERROR('4. Metinis CAPEX'!N23/'2. Investicijos'!$H19*$C19,0)</f>
        <v>0</v>
      </c>
      <c r="O19" s="59">
        <f>IFERROR('4. Metinis CAPEX'!O23/'2. Investicijos'!$H19*$C19,0)</f>
        <v>0</v>
      </c>
      <c r="P19" s="59" cm="1">
        <f t="array" ref="P19">IF($E19=0,0,SUMPRODUCT(($F$4:$O$4&lt;P$4)*($F$4:$O$4&gt;=P$4-$E19)*($F19:$O19/$E19)))</f>
        <v>0</v>
      </c>
      <c r="Q19" s="59" cm="1">
        <f t="array" ref="Q19">IF($E19=0,0,SUMPRODUCT(($F$4:$O$4&lt;Q$4)*($F$4:$O$4&gt;=Q$4-$E19)*($F19:$O19/$E19)))</f>
        <v>0</v>
      </c>
      <c r="R19" s="59" cm="1">
        <f t="array" ref="R19">IF($E19=0,0,SUMPRODUCT(($F$4:$O$4&lt;R$4)*($F$4:$O$4&gt;=R$4-$E19)*($F19:$O19/$E19)))</f>
        <v>0</v>
      </c>
      <c r="S19" s="59" cm="1">
        <f t="array" ref="S19">IF($E19=0,0,SUMPRODUCT(($F$4:$O$4&lt;S$4)*($F$4:$O$4&gt;=S$4-$E19)*($F19:$O19/$E19)))</f>
        <v>0</v>
      </c>
      <c r="T19" s="59" cm="1">
        <f t="array" ref="T19">IF($E19=0,0,SUMPRODUCT(($F$4:$O$4&lt;T$4)*($F$4:$O$4&gt;=T$4-$E19)*($F19:$O19/$E19)))</f>
        <v>0</v>
      </c>
      <c r="U19" s="59" cm="1">
        <f t="array" ref="U19">IF($E19=0,0,SUMPRODUCT(($F$4:$O$4&lt;U$4)*($F$4:$O$4&gt;=U$4-$E19)*($F19:$O19/$E19)))</f>
        <v>0</v>
      </c>
      <c r="V19" s="59" cm="1">
        <f t="array" ref="V19">IF($E19=0,0,SUMPRODUCT(($F$4:$O$4&lt;V$4)*($F$4:$O$4&gt;=V$4-$E19)*($F19:$O19/$E19)))</f>
        <v>0</v>
      </c>
      <c r="W19" s="59" cm="1">
        <f t="array" ref="W19">IF($E19=0,0,SUMPRODUCT(($F$4:$O$4&lt;W$4)*($F$4:$O$4&gt;=W$4-$E19)*($F19:$O19/$E19)))</f>
        <v>0</v>
      </c>
      <c r="X19" s="59" cm="1">
        <f t="array" ref="X19">IF($E19=0,0,SUMPRODUCT(($F$4:$O$4&lt;X$4)*($F$4:$O$4&gt;=X$4-$E19)*($F19:$O19/$E19)))</f>
        <v>0</v>
      </c>
      <c r="Y19" s="59" cm="1">
        <f t="array" ref="Y19">IF($E19=0,0,SUMPRODUCT(($F$4:$O$4&lt;Y$4)*($F$4:$O$4&gt;=Y$4-$E19)*($F19:$O19/$E19)))</f>
        <v>0</v>
      </c>
      <c r="Z19" s="59">
        <f>0</f>
        <v>0</v>
      </c>
      <c r="AA19" s="59">
        <f t="shared" si="19"/>
        <v>0</v>
      </c>
      <c r="AB19" s="59">
        <f t="shared" si="20"/>
        <v>0</v>
      </c>
      <c r="AC19" s="59">
        <f t="shared" si="21"/>
        <v>0</v>
      </c>
      <c r="AD19" s="59">
        <f t="shared" si="22"/>
        <v>0</v>
      </c>
      <c r="AE19" s="59">
        <f t="shared" si="23"/>
        <v>0</v>
      </c>
      <c r="AF19" s="59">
        <f t="shared" si="24"/>
        <v>0</v>
      </c>
      <c r="AG19" s="59">
        <f t="shared" si="25"/>
        <v>0</v>
      </c>
      <c r="AH19" s="59">
        <f t="shared" si="26"/>
        <v>0</v>
      </c>
      <c r="AI19" s="59">
        <f t="shared" si="27"/>
        <v>0</v>
      </c>
      <c r="AJ19" s="59">
        <f t="shared" si="28"/>
        <v>0</v>
      </c>
      <c r="AK19" s="59">
        <f t="shared" si="29"/>
        <v>0</v>
      </c>
      <c r="AL19" s="59">
        <f t="shared" si="30"/>
        <v>0</v>
      </c>
      <c r="AM19" s="59">
        <f t="shared" si="31"/>
        <v>0</v>
      </c>
      <c r="AN19" s="59">
        <f t="shared" si="32"/>
        <v>0</v>
      </c>
      <c r="AO19" s="59">
        <f t="shared" si="33"/>
        <v>0</v>
      </c>
      <c r="AP19" s="59">
        <f t="shared" si="34"/>
        <v>0</v>
      </c>
      <c r="AQ19" s="59">
        <f t="shared" si="35"/>
        <v>0</v>
      </c>
      <c r="AR19" s="59">
        <f t="shared" si="36"/>
        <v>0</v>
      </c>
      <c r="AS19" s="59">
        <f t="shared" si="37"/>
        <v>0</v>
      </c>
    </row>
    <row r="20" spans="1:45">
      <c r="A20" s="58" t="str">
        <f>'2. Investicijos'!A20</f>
        <v>16.</v>
      </c>
      <c r="B20" s="57">
        <f>'2. Investicijos'!B20</f>
        <v>0</v>
      </c>
      <c r="C20" s="59">
        <f>IF('2. Investicijos'!N20="",0,'2. Investicijos'!N20)</f>
        <v>0</v>
      </c>
      <c r="D20" s="60">
        <f>IF('2. Investicijos'!O20="",0,'2. Investicijos'!O20/100)</f>
        <v>0</v>
      </c>
      <c r="E20" s="61">
        <f>IF('2. Investicijos'!P20="",0,'2. Investicijos'!P20)</f>
        <v>0</v>
      </c>
      <c r="F20" s="59">
        <f>IFERROR('4. Metinis CAPEX'!F24/'2. Investicijos'!$H20*$C20,0)</f>
        <v>0</v>
      </c>
      <c r="G20" s="59">
        <f>IFERROR('4. Metinis CAPEX'!G24/'2. Investicijos'!$H20*$C20,0)</f>
        <v>0</v>
      </c>
      <c r="H20" s="59">
        <f>IFERROR('4. Metinis CAPEX'!H24/'2. Investicijos'!$H20*$C20,0)</f>
        <v>0</v>
      </c>
      <c r="I20" s="59">
        <f>IFERROR('4. Metinis CAPEX'!I24/'2. Investicijos'!$H20*$C20,0)</f>
        <v>0</v>
      </c>
      <c r="J20" s="59">
        <f>IFERROR('4. Metinis CAPEX'!J24/'2. Investicijos'!$H20*$C20,0)</f>
        <v>0</v>
      </c>
      <c r="K20" s="59">
        <f>IFERROR('4. Metinis CAPEX'!K24/'2. Investicijos'!$H20*$C20,0)</f>
        <v>0</v>
      </c>
      <c r="L20" s="59">
        <f>IFERROR('4. Metinis CAPEX'!L24/'2. Investicijos'!$H20*$C20,0)</f>
        <v>0</v>
      </c>
      <c r="M20" s="59">
        <f>IFERROR('4. Metinis CAPEX'!M24/'2. Investicijos'!$H20*$C20,0)</f>
        <v>0</v>
      </c>
      <c r="N20" s="59">
        <f>IFERROR('4. Metinis CAPEX'!N24/'2. Investicijos'!$H20*$C20,0)</f>
        <v>0</v>
      </c>
      <c r="O20" s="59">
        <f>IFERROR('4. Metinis CAPEX'!O24/'2. Investicijos'!$H20*$C20,0)</f>
        <v>0</v>
      </c>
      <c r="P20" s="59" cm="1">
        <f t="array" ref="P20">IF($E20=0,0,SUMPRODUCT(($F$4:$O$4&lt;P$4)*($F$4:$O$4&gt;=P$4-$E20)*($F20:$O20/$E20)))</f>
        <v>0</v>
      </c>
      <c r="Q20" s="59" cm="1">
        <f t="array" ref="Q20">IF($E20=0,0,SUMPRODUCT(($F$4:$O$4&lt;Q$4)*($F$4:$O$4&gt;=Q$4-$E20)*($F20:$O20/$E20)))</f>
        <v>0</v>
      </c>
      <c r="R20" s="59" cm="1">
        <f t="array" ref="R20">IF($E20=0,0,SUMPRODUCT(($F$4:$O$4&lt;R$4)*($F$4:$O$4&gt;=R$4-$E20)*($F20:$O20/$E20)))</f>
        <v>0</v>
      </c>
      <c r="S20" s="59" cm="1">
        <f t="array" ref="S20">IF($E20=0,0,SUMPRODUCT(($F$4:$O$4&lt;S$4)*($F$4:$O$4&gt;=S$4-$E20)*($F20:$O20/$E20)))</f>
        <v>0</v>
      </c>
      <c r="T20" s="59" cm="1">
        <f t="array" ref="T20">IF($E20=0,0,SUMPRODUCT(($F$4:$O$4&lt;T$4)*($F$4:$O$4&gt;=T$4-$E20)*($F20:$O20/$E20)))</f>
        <v>0</v>
      </c>
      <c r="U20" s="59" cm="1">
        <f t="array" ref="U20">IF($E20=0,0,SUMPRODUCT(($F$4:$O$4&lt;U$4)*($F$4:$O$4&gt;=U$4-$E20)*($F20:$O20/$E20)))</f>
        <v>0</v>
      </c>
      <c r="V20" s="59" cm="1">
        <f t="array" ref="V20">IF($E20=0,0,SUMPRODUCT(($F$4:$O$4&lt;V$4)*($F$4:$O$4&gt;=V$4-$E20)*($F20:$O20/$E20)))</f>
        <v>0</v>
      </c>
      <c r="W20" s="59" cm="1">
        <f t="array" ref="W20">IF($E20=0,0,SUMPRODUCT(($F$4:$O$4&lt;W$4)*($F$4:$O$4&gt;=W$4-$E20)*($F20:$O20/$E20)))</f>
        <v>0</v>
      </c>
      <c r="X20" s="59" cm="1">
        <f t="array" ref="X20">IF($E20=0,0,SUMPRODUCT(($F$4:$O$4&lt;X$4)*($F$4:$O$4&gt;=X$4-$E20)*($F20:$O20/$E20)))</f>
        <v>0</v>
      </c>
      <c r="Y20" s="59" cm="1">
        <f t="array" ref="Y20">IF($E20=0,0,SUMPRODUCT(($F$4:$O$4&lt;Y$4)*($F$4:$O$4&gt;=Y$4-$E20)*($F20:$O20/$E20)))</f>
        <v>0</v>
      </c>
      <c r="Z20" s="59">
        <f>0</f>
        <v>0</v>
      </c>
      <c r="AA20" s="59">
        <f t="shared" si="19"/>
        <v>0</v>
      </c>
      <c r="AB20" s="59">
        <f t="shared" si="20"/>
        <v>0</v>
      </c>
      <c r="AC20" s="59">
        <f t="shared" si="21"/>
        <v>0</v>
      </c>
      <c r="AD20" s="59">
        <f t="shared" si="22"/>
        <v>0</v>
      </c>
      <c r="AE20" s="59">
        <f t="shared" si="23"/>
        <v>0</v>
      </c>
      <c r="AF20" s="59">
        <f t="shared" si="24"/>
        <v>0</v>
      </c>
      <c r="AG20" s="59">
        <f t="shared" si="25"/>
        <v>0</v>
      </c>
      <c r="AH20" s="59">
        <f t="shared" si="26"/>
        <v>0</v>
      </c>
      <c r="AI20" s="59">
        <f t="shared" si="27"/>
        <v>0</v>
      </c>
      <c r="AJ20" s="59">
        <f t="shared" si="28"/>
        <v>0</v>
      </c>
      <c r="AK20" s="59">
        <f t="shared" si="29"/>
        <v>0</v>
      </c>
      <c r="AL20" s="59">
        <f t="shared" si="30"/>
        <v>0</v>
      </c>
      <c r="AM20" s="59">
        <f t="shared" si="31"/>
        <v>0</v>
      </c>
      <c r="AN20" s="59">
        <f t="shared" si="32"/>
        <v>0</v>
      </c>
      <c r="AO20" s="59">
        <f t="shared" si="33"/>
        <v>0</v>
      </c>
      <c r="AP20" s="59">
        <f t="shared" si="34"/>
        <v>0</v>
      </c>
      <c r="AQ20" s="59">
        <f t="shared" si="35"/>
        <v>0</v>
      </c>
      <c r="AR20" s="59">
        <f t="shared" si="36"/>
        <v>0</v>
      </c>
      <c r="AS20" s="59">
        <f t="shared" si="37"/>
        <v>0</v>
      </c>
    </row>
    <row r="21" spans="1:45">
      <c r="A21" s="58" t="str">
        <f>'2. Investicijos'!A21</f>
        <v>17.</v>
      </c>
      <c r="B21" s="57">
        <f>'2. Investicijos'!B21</f>
        <v>0</v>
      </c>
      <c r="C21" s="59">
        <f>IF('2. Investicijos'!N21="",0,'2. Investicijos'!N21)</f>
        <v>0</v>
      </c>
      <c r="D21" s="60">
        <f>IF('2. Investicijos'!O21="",0,'2. Investicijos'!O21/100)</f>
        <v>0</v>
      </c>
      <c r="E21" s="61">
        <f>IF('2. Investicijos'!P21="",0,'2. Investicijos'!P21)</f>
        <v>0</v>
      </c>
      <c r="F21" s="59">
        <f>IFERROR('4. Metinis CAPEX'!F25/'2. Investicijos'!$H21*$C21,0)</f>
        <v>0</v>
      </c>
      <c r="G21" s="59">
        <f>IFERROR('4. Metinis CAPEX'!G25/'2. Investicijos'!$H21*$C21,0)</f>
        <v>0</v>
      </c>
      <c r="H21" s="59">
        <f>IFERROR('4. Metinis CAPEX'!H25/'2. Investicijos'!$H21*$C21,0)</f>
        <v>0</v>
      </c>
      <c r="I21" s="59">
        <f>IFERROR('4. Metinis CAPEX'!I25/'2. Investicijos'!$H21*$C21,0)</f>
        <v>0</v>
      </c>
      <c r="J21" s="59">
        <f>IFERROR('4. Metinis CAPEX'!J25/'2. Investicijos'!$H21*$C21,0)</f>
        <v>0</v>
      </c>
      <c r="K21" s="59">
        <f>IFERROR('4. Metinis CAPEX'!K25/'2. Investicijos'!$H21*$C21,0)</f>
        <v>0</v>
      </c>
      <c r="L21" s="59">
        <f>IFERROR('4. Metinis CAPEX'!L25/'2. Investicijos'!$H21*$C21,0)</f>
        <v>0</v>
      </c>
      <c r="M21" s="59">
        <f>IFERROR('4. Metinis CAPEX'!M25/'2. Investicijos'!$H21*$C21,0)</f>
        <v>0</v>
      </c>
      <c r="N21" s="59">
        <f>IFERROR('4. Metinis CAPEX'!N25/'2. Investicijos'!$H21*$C21,0)</f>
        <v>0</v>
      </c>
      <c r="O21" s="59">
        <f>IFERROR('4. Metinis CAPEX'!O25/'2. Investicijos'!$H21*$C21,0)</f>
        <v>0</v>
      </c>
      <c r="P21" s="59" cm="1">
        <f t="array" ref="P21">IF($E21=0,0,SUMPRODUCT(($F$4:$O$4&lt;P$4)*($F$4:$O$4&gt;=P$4-$E21)*($F21:$O21/$E21)))</f>
        <v>0</v>
      </c>
      <c r="Q21" s="59" cm="1">
        <f t="array" ref="Q21">IF($E21=0,0,SUMPRODUCT(($F$4:$O$4&lt;Q$4)*($F$4:$O$4&gt;=Q$4-$E21)*($F21:$O21/$E21)))</f>
        <v>0</v>
      </c>
      <c r="R21" s="59" cm="1">
        <f t="array" ref="R21">IF($E21=0,0,SUMPRODUCT(($F$4:$O$4&lt;R$4)*($F$4:$O$4&gt;=R$4-$E21)*($F21:$O21/$E21)))</f>
        <v>0</v>
      </c>
      <c r="S21" s="59" cm="1">
        <f t="array" ref="S21">IF($E21=0,0,SUMPRODUCT(($F$4:$O$4&lt;S$4)*($F$4:$O$4&gt;=S$4-$E21)*($F21:$O21/$E21)))</f>
        <v>0</v>
      </c>
      <c r="T21" s="59" cm="1">
        <f t="array" ref="T21">IF($E21=0,0,SUMPRODUCT(($F$4:$O$4&lt;T$4)*($F$4:$O$4&gt;=T$4-$E21)*($F21:$O21/$E21)))</f>
        <v>0</v>
      </c>
      <c r="U21" s="59" cm="1">
        <f t="array" ref="U21">IF($E21=0,0,SUMPRODUCT(($F$4:$O$4&lt;U$4)*($F$4:$O$4&gt;=U$4-$E21)*($F21:$O21/$E21)))</f>
        <v>0</v>
      </c>
      <c r="V21" s="59" cm="1">
        <f t="array" ref="V21">IF($E21=0,0,SUMPRODUCT(($F$4:$O$4&lt;V$4)*($F$4:$O$4&gt;=V$4-$E21)*($F21:$O21/$E21)))</f>
        <v>0</v>
      </c>
      <c r="W21" s="59" cm="1">
        <f t="array" ref="W21">IF($E21=0,0,SUMPRODUCT(($F$4:$O$4&lt;W$4)*($F$4:$O$4&gt;=W$4-$E21)*($F21:$O21/$E21)))</f>
        <v>0</v>
      </c>
      <c r="X21" s="59" cm="1">
        <f t="array" ref="X21">IF($E21=0,0,SUMPRODUCT(($F$4:$O$4&lt;X$4)*($F$4:$O$4&gt;=X$4-$E21)*($F21:$O21/$E21)))</f>
        <v>0</v>
      </c>
      <c r="Y21" s="59" cm="1">
        <f t="array" ref="Y21">IF($E21=0,0,SUMPRODUCT(($F$4:$O$4&lt;Y$4)*($F$4:$O$4&gt;=Y$4-$E21)*($F21:$O21/$E21)))</f>
        <v>0</v>
      </c>
      <c r="Z21" s="59">
        <f>0</f>
        <v>0</v>
      </c>
      <c r="AA21" s="59">
        <f t="shared" si="19"/>
        <v>0</v>
      </c>
      <c r="AB21" s="59">
        <f t="shared" si="20"/>
        <v>0</v>
      </c>
      <c r="AC21" s="59">
        <f t="shared" si="21"/>
        <v>0</v>
      </c>
      <c r="AD21" s="59">
        <f t="shared" si="22"/>
        <v>0</v>
      </c>
      <c r="AE21" s="59">
        <f t="shared" si="23"/>
        <v>0</v>
      </c>
      <c r="AF21" s="59">
        <f t="shared" si="24"/>
        <v>0</v>
      </c>
      <c r="AG21" s="59">
        <f t="shared" si="25"/>
        <v>0</v>
      </c>
      <c r="AH21" s="59">
        <f t="shared" si="26"/>
        <v>0</v>
      </c>
      <c r="AI21" s="59">
        <f t="shared" si="27"/>
        <v>0</v>
      </c>
      <c r="AJ21" s="59">
        <f t="shared" si="28"/>
        <v>0</v>
      </c>
      <c r="AK21" s="59">
        <f t="shared" si="29"/>
        <v>0</v>
      </c>
      <c r="AL21" s="59">
        <f t="shared" si="30"/>
        <v>0</v>
      </c>
      <c r="AM21" s="59">
        <f t="shared" si="31"/>
        <v>0</v>
      </c>
      <c r="AN21" s="59">
        <f t="shared" si="32"/>
        <v>0</v>
      </c>
      <c r="AO21" s="59">
        <f t="shared" si="33"/>
        <v>0</v>
      </c>
      <c r="AP21" s="59">
        <f t="shared" si="34"/>
        <v>0</v>
      </c>
      <c r="AQ21" s="59">
        <f t="shared" si="35"/>
        <v>0</v>
      </c>
      <c r="AR21" s="59">
        <f t="shared" si="36"/>
        <v>0</v>
      </c>
      <c r="AS21" s="59">
        <f t="shared" si="37"/>
        <v>0</v>
      </c>
    </row>
    <row r="22" spans="1:45">
      <c r="A22" s="58" t="str">
        <f>'2. Investicijos'!A22</f>
        <v>18.</v>
      </c>
      <c r="B22" s="57">
        <f>'2. Investicijos'!B22</f>
        <v>0</v>
      </c>
      <c r="C22" s="59">
        <f>IF('2. Investicijos'!N22="",0,'2. Investicijos'!N22)</f>
        <v>0</v>
      </c>
      <c r="D22" s="60">
        <f>IF('2. Investicijos'!O22="",0,'2. Investicijos'!O22/100)</f>
        <v>0</v>
      </c>
      <c r="E22" s="61">
        <f>IF('2. Investicijos'!P22="",0,'2. Investicijos'!P22)</f>
        <v>0</v>
      </c>
      <c r="F22" s="59">
        <f>IFERROR('4. Metinis CAPEX'!F26/'2. Investicijos'!$H22*$C22,0)</f>
        <v>0</v>
      </c>
      <c r="G22" s="59">
        <f>IFERROR('4. Metinis CAPEX'!G26/'2. Investicijos'!$H22*$C22,0)</f>
        <v>0</v>
      </c>
      <c r="H22" s="59">
        <f>IFERROR('4. Metinis CAPEX'!H26/'2. Investicijos'!$H22*$C22,0)</f>
        <v>0</v>
      </c>
      <c r="I22" s="59">
        <f>IFERROR('4. Metinis CAPEX'!I26/'2. Investicijos'!$H22*$C22,0)</f>
        <v>0</v>
      </c>
      <c r="J22" s="59">
        <f>IFERROR('4. Metinis CAPEX'!J26/'2. Investicijos'!$H22*$C22,0)</f>
        <v>0</v>
      </c>
      <c r="K22" s="59">
        <f>IFERROR('4. Metinis CAPEX'!K26/'2. Investicijos'!$H22*$C22,0)</f>
        <v>0</v>
      </c>
      <c r="L22" s="59">
        <f>IFERROR('4. Metinis CAPEX'!L26/'2. Investicijos'!$H22*$C22,0)</f>
        <v>0</v>
      </c>
      <c r="M22" s="59">
        <f>IFERROR('4. Metinis CAPEX'!M26/'2. Investicijos'!$H22*$C22,0)</f>
        <v>0</v>
      </c>
      <c r="N22" s="59">
        <f>IFERROR('4. Metinis CAPEX'!N26/'2. Investicijos'!$H22*$C22,0)</f>
        <v>0</v>
      </c>
      <c r="O22" s="59">
        <f>IFERROR('4. Metinis CAPEX'!O26/'2. Investicijos'!$H22*$C22,0)</f>
        <v>0</v>
      </c>
      <c r="P22" s="59" cm="1">
        <f t="array" ref="P22">IF($E22=0,0,SUMPRODUCT(($F$4:$O$4&lt;P$4)*($F$4:$O$4&gt;=P$4-$E22)*($F22:$O22/$E22)))</f>
        <v>0</v>
      </c>
      <c r="Q22" s="59" cm="1">
        <f t="array" ref="Q22">IF($E22=0,0,SUMPRODUCT(($F$4:$O$4&lt;Q$4)*($F$4:$O$4&gt;=Q$4-$E22)*($F22:$O22/$E22)))</f>
        <v>0</v>
      </c>
      <c r="R22" s="59" cm="1">
        <f t="array" ref="R22">IF($E22=0,0,SUMPRODUCT(($F$4:$O$4&lt;R$4)*($F$4:$O$4&gt;=R$4-$E22)*($F22:$O22/$E22)))</f>
        <v>0</v>
      </c>
      <c r="S22" s="59" cm="1">
        <f t="array" ref="S22">IF($E22=0,0,SUMPRODUCT(($F$4:$O$4&lt;S$4)*($F$4:$O$4&gt;=S$4-$E22)*($F22:$O22/$E22)))</f>
        <v>0</v>
      </c>
      <c r="T22" s="59" cm="1">
        <f t="array" ref="T22">IF($E22=0,0,SUMPRODUCT(($F$4:$O$4&lt;T$4)*($F$4:$O$4&gt;=T$4-$E22)*($F22:$O22/$E22)))</f>
        <v>0</v>
      </c>
      <c r="U22" s="59" cm="1">
        <f t="array" ref="U22">IF($E22=0,0,SUMPRODUCT(($F$4:$O$4&lt;U$4)*($F$4:$O$4&gt;=U$4-$E22)*($F22:$O22/$E22)))</f>
        <v>0</v>
      </c>
      <c r="V22" s="59" cm="1">
        <f t="array" ref="V22">IF($E22=0,0,SUMPRODUCT(($F$4:$O$4&lt;V$4)*($F$4:$O$4&gt;=V$4-$E22)*($F22:$O22/$E22)))</f>
        <v>0</v>
      </c>
      <c r="W22" s="59" cm="1">
        <f t="array" ref="W22">IF($E22=0,0,SUMPRODUCT(($F$4:$O$4&lt;W$4)*($F$4:$O$4&gt;=W$4-$E22)*($F22:$O22/$E22)))</f>
        <v>0</v>
      </c>
      <c r="X22" s="59" cm="1">
        <f t="array" ref="X22">IF($E22=0,0,SUMPRODUCT(($F$4:$O$4&lt;X$4)*($F$4:$O$4&gt;=X$4-$E22)*($F22:$O22/$E22)))</f>
        <v>0</v>
      </c>
      <c r="Y22" s="59" cm="1">
        <f t="array" ref="Y22">IF($E22=0,0,SUMPRODUCT(($F$4:$O$4&lt;Y$4)*($F$4:$O$4&gt;=Y$4-$E22)*($F22:$O22/$E22)))</f>
        <v>0</v>
      </c>
      <c r="Z22" s="59">
        <f>0</f>
        <v>0</v>
      </c>
      <c r="AA22" s="59">
        <f t="shared" si="19"/>
        <v>0</v>
      </c>
      <c r="AB22" s="59">
        <f t="shared" si="20"/>
        <v>0</v>
      </c>
      <c r="AC22" s="59">
        <f t="shared" si="21"/>
        <v>0</v>
      </c>
      <c r="AD22" s="59">
        <f t="shared" si="22"/>
        <v>0</v>
      </c>
      <c r="AE22" s="59">
        <f t="shared" si="23"/>
        <v>0</v>
      </c>
      <c r="AF22" s="59">
        <f t="shared" si="24"/>
        <v>0</v>
      </c>
      <c r="AG22" s="59">
        <f t="shared" si="25"/>
        <v>0</v>
      </c>
      <c r="AH22" s="59">
        <f t="shared" si="26"/>
        <v>0</v>
      </c>
      <c r="AI22" s="59">
        <f t="shared" si="27"/>
        <v>0</v>
      </c>
      <c r="AJ22" s="59">
        <f t="shared" si="28"/>
        <v>0</v>
      </c>
      <c r="AK22" s="59">
        <f t="shared" si="29"/>
        <v>0</v>
      </c>
      <c r="AL22" s="59">
        <f t="shared" si="30"/>
        <v>0</v>
      </c>
      <c r="AM22" s="59">
        <f t="shared" si="31"/>
        <v>0</v>
      </c>
      <c r="AN22" s="59">
        <f t="shared" si="32"/>
        <v>0</v>
      </c>
      <c r="AO22" s="59">
        <f t="shared" si="33"/>
        <v>0</v>
      </c>
      <c r="AP22" s="59">
        <f t="shared" si="34"/>
        <v>0</v>
      </c>
      <c r="AQ22" s="59">
        <f t="shared" si="35"/>
        <v>0</v>
      </c>
      <c r="AR22" s="59">
        <f t="shared" si="36"/>
        <v>0</v>
      </c>
      <c r="AS22" s="59">
        <f t="shared" si="37"/>
        <v>0</v>
      </c>
    </row>
    <row r="23" spans="1:45">
      <c r="A23" s="58" t="str">
        <f>'2. Investicijos'!A23</f>
        <v>19.</v>
      </c>
      <c r="B23" s="57">
        <f>'2. Investicijos'!B23</f>
        <v>0</v>
      </c>
      <c r="C23" s="59">
        <f>IF('2. Investicijos'!N23="",0,'2. Investicijos'!N23)</f>
        <v>0</v>
      </c>
      <c r="D23" s="60">
        <f>IF('2. Investicijos'!O23="",0,'2. Investicijos'!O23/100)</f>
        <v>0</v>
      </c>
      <c r="E23" s="61">
        <f>IF('2. Investicijos'!P23="",0,'2. Investicijos'!P23)</f>
        <v>0</v>
      </c>
      <c r="F23" s="59">
        <f>IFERROR('4. Metinis CAPEX'!F27/'2. Investicijos'!$H23*$C23,0)</f>
        <v>0</v>
      </c>
      <c r="G23" s="59">
        <f>IFERROR('4. Metinis CAPEX'!G27/'2. Investicijos'!$H23*$C23,0)</f>
        <v>0</v>
      </c>
      <c r="H23" s="59">
        <f>IFERROR('4. Metinis CAPEX'!H27/'2. Investicijos'!$H23*$C23,0)</f>
        <v>0</v>
      </c>
      <c r="I23" s="59">
        <f>IFERROR('4. Metinis CAPEX'!I27/'2. Investicijos'!$H23*$C23,0)</f>
        <v>0</v>
      </c>
      <c r="J23" s="59">
        <f>IFERROR('4. Metinis CAPEX'!J27/'2. Investicijos'!$H23*$C23,0)</f>
        <v>0</v>
      </c>
      <c r="K23" s="59">
        <f>IFERROR('4. Metinis CAPEX'!K27/'2. Investicijos'!$H23*$C23,0)</f>
        <v>0</v>
      </c>
      <c r="L23" s="59">
        <f>IFERROR('4. Metinis CAPEX'!L27/'2. Investicijos'!$H23*$C23,0)</f>
        <v>0</v>
      </c>
      <c r="M23" s="59">
        <f>IFERROR('4. Metinis CAPEX'!M27/'2. Investicijos'!$H23*$C23,0)</f>
        <v>0</v>
      </c>
      <c r="N23" s="59">
        <f>IFERROR('4. Metinis CAPEX'!N27/'2. Investicijos'!$H23*$C23,0)</f>
        <v>0</v>
      </c>
      <c r="O23" s="59">
        <f>IFERROR('4. Metinis CAPEX'!O27/'2. Investicijos'!$H23*$C23,0)</f>
        <v>0</v>
      </c>
      <c r="P23" s="59" cm="1">
        <f t="array" ref="P23">IF($E23=0,0,SUMPRODUCT(($F$4:$O$4&lt;P$4)*($F$4:$O$4&gt;=P$4-$E23)*($F23:$O23/$E23)))</f>
        <v>0</v>
      </c>
      <c r="Q23" s="59" cm="1">
        <f t="array" ref="Q23">IF($E23=0,0,SUMPRODUCT(($F$4:$O$4&lt;Q$4)*($F$4:$O$4&gt;=Q$4-$E23)*($F23:$O23/$E23)))</f>
        <v>0</v>
      </c>
      <c r="R23" s="59" cm="1">
        <f t="array" ref="R23">IF($E23=0,0,SUMPRODUCT(($F$4:$O$4&lt;R$4)*($F$4:$O$4&gt;=R$4-$E23)*($F23:$O23/$E23)))</f>
        <v>0</v>
      </c>
      <c r="S23" s="59" cm="1">
        <f t="array" ref="S23">IF($E23=0,0,SUMPRODUCT(($F$4:$O$4&lt;S$4)*($F$4:$O$4&gt;=S$4-$E23)*($F23:$O23/$E23)))</f>
        <v>0</v>
      </c>
      <c r="T23" s="59" cm="1">
        <f t="array" ref="T23">IF($E23=0,0,SUMPRODUCT(($F$4:$O$4&lt;T$4)*($F$4:$O$4&gt;=T$4-$E23)*($F23:$O23/$E23)))</f>
        <v>0</v>
      </c>
      <c r="U23" s="59" cm="1">
        <f t="array" ref="U23">IF($E23=0,0,SUMPRODUCT(($F$4:$O$4&lt;U$4)*($F$4:$O$4&gt;=U$4-$E23)*($F23:$O23/$E23)))</f>
        <v>0</v>
      </c>
      <c r="V23" s="59" cm="1">
        <f t="array" ref="V23">IF($E23=0,0,SUMPRODUCT(($F$4:$O$4&lt;V$4)*($F$4:$O$4&gt;=V$4-$E23)*($F23:$O23/$E23)))</f>
        <v>0</v>
      </c>
      <c r="W23" s="59" cm="1">
        <f t="array" ref="W23">IF($E23=0,0,SUMPRODUCT(($F$4:$O$4&lt;W$4)*($F$4:$O$4&gt;=W$4-$E23)*($F23:$O23/$E23)))</f>
        <v>0</v>
      </c>
      <c r="X23" s="59" cm="1">
        <f t="array" ref="X23">IF($E23=0,0,SUMPRODUCT(($F$4:$O$4&lt;X$4)*($F$4:$O$4&gt;=X$4-$E23)*($F23:$O23/$E23)))</f>
        <v>0</v>
      </c>
      <c r="Y23" s="59" cm="1">
        <f t="array" ref="Y23">IF($E23=0,0,SUMPRODUCT(($F$4:$O$4&lt;Y$4)*($F$4:$O$4&gt;=Y$4-$E23)*($F23:$O23/$E23)))</f>
        <v>0</v>
      </c>
      <c r="Z23" s="59">
        <f>0</f>
        <v>0</v>
      </c>
      <c r="AA23" s="59">
        <f t="shared" si="19"/>
        <v>0</v>
      </c>
      <c r="AB23" s="59">
        <f t="shared" si="20"/>
        <v>0</v>
      </c>
      <c r="AC23" s="59">
        <f t="shared" si="21"/>
        <v>0</v>
      </c>
      <c r="AD23" s="59">
        <f t="shared" si="22"/>
        <v>0</v>
      </c>
      <c r="AE23" s="59">
        <f t="shared" si="23"/>
        <v>0</v>
      </c>
      <c r="AF23" s="59">
        <f t="shared" si="24"/>
        <v>0</v>
      </c>
      <c r="AG23" s="59">
        <f t="shared" si="25"/>
        <v>0</v>
      </c>
      <c r="AH23" s="59">
        <f t="shared" si="26"/>
        <v>0</v>
      </c>
      <c r="AI23" s="59">
        <f t="shared" si="27"/>
        <v>0</v>
      </c>
      <c r="AJ23" s="59">
        <f t="shared" si="28"/>
        <v>0</v>
      </c>
      <c r="AK23" s="59">
        <f t="shared" si="29"/>
        <v>0</v>
      </c>
      <c r="AL23" s="59">
        <f t="shared" si="30"/>
        <v>0</v>
      </c>
      <c r="AM23" s="59">
        <f t="shared" si="31"/>
        <v>0</v>
      </c>
      <c r="AN23" s="59">
        <f t="shared" si="32"/>
        <v>0</v>
      </c>
      <c r="AO23" s="59">
        <f t="shared" si="33"/>
        <v>0</v>
      </c>
      <c r="AP23" s="59">
        <f t="shared" si="34"/>
        <v>0</v>
      </c>
      <c r="AQ23" s="59">
        <f t="shared" si="35"/>
        <v>0</v>
      </c>
      <c r="AR23" s="59">
        <f t="shared" si="36"/>
        <v>0</v>
      </c>
      <c r="AS23" s="59">
        <f t="shared" si="37"/>
        <v>0</v>
      </c>
    </row>
    <row r="24" spans="1:45">
      <c r="A24" s="58" t="str">
        <f>'2. Investicijos'!A24</f>
        <v>20.</v>
      </c>
      <c r="B24" s="57">
        <f>'2. Investicijos'!B24</f>
        <v>0</v>
      </c>
      <c r="C24" s="59">
        <f>IF('2. Investicijos'!N24="",0,'2. Investicijos'!N24)</f>
        <v>0</v>
      </c>
      <c r="D24" s="60">
        <f>IF('2. Investicijos'!O24="",0,'2. Investicijos'!O24/100)</f>
        <v>0</v>
      </c>
      <c r="E24" s="61">
        <f>IF('2. Investicijos'!P24="",0,'2. Investicijos'!P24)</f>
        <v>0</v>
      </c>
      <c r="F24" s="59">
        <f>IFERROR('4. Metinis CAPEX'!F28/'2. Investicijos'!$H24*$C24,0)</f>
        <v>0</v>
      </c>
      <c r="G24" s="59">
        <f>IFERROR('4. Metinis CAPEX'!G28/'2. Investicijos'!$H24*$C24,0)</f>
        <v>0</v>
      </c>
      <c r="H24" s="59">
        <f>IFERROR('4. Metinis CAPEX'!H28/'2. Investicijos'!$H24*$C24,0)</f>
        <v>0</v>
      </c>
      <c r="I24" s="59">
        <f>IFERROR('4. Metinis CAPEX'!I28/'2. Investicijos'!$H24*$C24,0)</f>
        <v>0</v>
      </c>
      <c r="J24" s="59">
        <f>IFERROR('4. Metinis CAPEX'!J28/'2. Investicijos'!$H24*$C24,0)</f>
        <v>0</v>
      </c>
      <c r="K24" s="59">
        <f>IFERROR('4. Metinis CAPEX'!K28/'2. Investicijos'!$H24*$C24,0)</f>
        <v>0</v>
      </c>
      <c r="L24" s="59">
        <f>IFERROR('4. Metinis CAPEX'!L28/'2. Investicijos'!$H24*$C24,0)</f>
        <v>0</v>
      </c>
      <c r="M24" s="59">
        <f>IFERROR('4. Metinis CAPEX'!M28/'2. Investicijos'!$H24*$C24,0)</f>
        <v>0</v>
      </c>
      <c r="N24" s="59">
        <f>IFERROR('4. Metinis CAPEX'!N28/'2. Investicijos'!$H24*$C24,0)</f>
        <v>0</v>
      </c>
      <c r="O24" s="59">
        <f>IFERROR('4. Metinis CAPEX'!O28/'2. Investicijos'!$H24*$C24,0)</f>
        <v>0</v>
      </c>
      <c r="P24" s="59" cm="1">
        <f t="array" ref="P24">IF($E24=0,0,SUMPRODUCT(($F$4:$O$4&lt;P$4)*($F$4:$O$4&gt;=P$4-$E24)*($F24:$O24/$E24)))</f>
        <v>0</v>
      </c>
      <c r="Q24" s="59" cm="1">
        <f t="array" ref="Q24">IF($E24=0,0,SUMPRODUCT(($F$4:$O$4&lt;Q$4)*($F$4:$O$4&gt;=Q$4-$E24)*($F24:$O24/$E24)))</f>
        <v>0</v>
      </c>
      <c r="R24" s="59" cm="1">
        <f t="array" ref="R24">IF($E24=0,0,SUMPRODUCT(($F$4:$O$4&lt;R$4)*($F$4:$O$4&gt;=R$4-$E24)*($F24:$O24/$E24)))</f>
        <v>0</v>
      </c>
      <c r="S24" s="59" cm="1">
        <f t="array" ref="S24">IF($E24=0,0,SUMPRODUCT(($F$4:$O$4&lt;S$4)*($F$4:$O$4&gt;=S$4-$E24)*($F24:$O24/$E24)))</f>
        <v>0</v>
      </c>
      <c r="T24" s="59" cm="1">
        <f t="array" ref="T24">IF($E24=0,0,SUMPRODUCT(($F$4:$O$4&lt;T$4)*($F$4:$O$4&gt;=T$4-$E24)*($F24:$O24/$E24)))</f>
        <v>0</v>
      </c>
      <c r="U24" s="59" cm="1">
        <f t="array" ref="U24">IF($E24=0,0,SUMPRODUCT(($F$4:$O$4&lt;U$4)*($F$4:$O$4&gt;=U$4-$E24)*($F24:$O24/$E24)))</f>
        <v>0</v>
      </c>
      <c r="V24" s="59" cm="1">
        <f t="array" ref="V24">IF($E24=0,0,SUMPRODUCT(($F$4:$O$4&lt;V$4)*($F$4:$O$4&gt;=V$4-$E24)*($F24:$O24/$E24)))</f>
        <v>0</v>
      </c>
      <c r="W24" s="59" cm="1">
        <f t="array" ref="W24">IF($E24=0,0,SUMPRODUCT(($F$4:$O$4&lt;W$4)*($F$4:$O$4&gt;=W$4-$E24)*($F24:$O24/$E24)))</f>
        <v>0</v>
      </c>
      <c r="X24" s="59" cm="1">
        <f t="array" ref="X24">IF($E24=0,0,SUMPRODUCT(($F$4:$O$4&lt;X$4)*($F$4:$O$4&gt;=X$4-$E24)*($F24:$O24/$E24)))</f>
        <v>0</v>
      </c>
      <c r="Y24" s="59" cm="1">
        <f t="array" ref="Y24">IF($E24=0,0,SUMPRODUCT(($F$4:$O$4&lt;Y$4)*($F$4:$O$4&gt;=Y$4-$E24)*($F24:$O24/$E24)))</f>
        <v>0</v>
      </c>
      <c r="Z24" s="59">
        <f>0</f>
        <v>0</v>
      </c>
      <c r="AA24" s="59">
        <f t="shared" si="19"/>
        <v>0</v>
      </c>
      <c r="AB24" s="59">
        <f t="shared" si="20"/>
        <v>0</v>
      </c>
      <c r="AC24" s="59">
        <f t="shared" si="21"/>
        <v>0</v>
      </c>
      <c r="AD24" s="59">
        <f t="shared" si="22"/>
        <v>0</v>
      </c>
      <c r="AE24" s="59">
        <f t="shared" si="23"/>
        <v>0</v>
      </c>
      <c r="AF24" s="59">
        <f t="shared" si="24"/>
        <v>0</v>
      </c>
      <c r="AG24" s="59">
        <f t="shared" si="25"/>
        <v>0</v>
      </c>
      <c r="AH24" s="59">
        <f t="shared" si="26"/>
        <v>0</v>
      </c>
      <c r="AI24" s="59">
        <f t="shared" si="27"/>
        <v>0</v>
      </c>
      <c r="AJ24" s="59">
        <f t="shared" si="28"/>
        <v>0</v>
      </c>
      <c r="AK24" s="59">
        <f t="shared" si="29"/>
        <v>0</v>
      </c>
      <c r="AL24" s="59">
        <f t="shared" si="30"/>
        <v>0</v>
      </c>
      <c r="AM24" s="59">
        <f t="shared" si="31"/>
        <v>0</v>
      </c>
      <c r="AN24" s="59">
        <f t="shared" si="32"/>
        <v>0</v>
      </c>
      <c r="AO24" s="59">
        <f t="shared" si="33"/>
        <v>0</v>
      </c>
      <c r="AP24" s="59">
        <f t="shared" si="34"/>
        <v>0</v>
      </c>
      <c r="AQ24" s="59">
        <f t="shared" si="35"/>
        <v>0</v>
      </c>
      <c r="AR24" s="59">
        <f t="shared" si="36"/>
        <v>0</v>
      </c>
      <c r="AS24" s="59">
        <f t="shared" si="37"/>
        <v>0</v>
      </c>
    </row>
    <row r="25" spans="1:45">
      <c r="A25" s="135" t="s">
        <v>125</v>
      </c>
      <c r="B25" s="135"/>
      <c r="C25" s="66">
        <f>SUM(C5:C24)</f>
        <v>0</v>
      </c>
      <c r="D25" s="67"/>
      <c r="E25" s="67"/>
      <c r="F25" s="66">
        <f t="shared" ref="F25:AS25" si="38">SUM(F5:F24)</f>
        <v>0</v>
      </c>
      <c r="G25" s="66">
        <f t="shared" si="38"/>
        <v>0</v>
      </c>
      <c r="H25" s="66">
        <f t="shared" si="38"/>
        <v>0</v>
      </c>
      <c r="I25" s="66">
        <f t="shared" si="38"/>
        <v>0</v>
      </c>
      <c r="J25" s="66">
        <f t="shared" si="38"/>
        <v>0</v>
      </c>
      <c r="K25" s="66">
        <f t="shared" si="38"/>
        <v>0</v>
      </c>
      <c r="L25" s="66">
        <f t="shared" si="38"/>
        <v>0</v>
      </c>
      <c r="M25" s="66">
        <f t="shared" si="38"/>
        <v>0</v>
      </c>
      <c r="N25" s="66">
        <f t="shared" si="38"/>
        <v>0</v>
      </c>
      <c r="O25" s="66">
        <f t="shared" si="38"/>
        <v>0</v>
      </c>
      <c r="P25" s="66">
        <f t="shared" si="38"/>
        <v>0</v>
      </c>
      <c r="Q25" s="66">
        <f t="shared" si="38"/>
        <v>0</v>
      </c>
      <c r="R25" s="66">
        <f t="shared" si="38"/>
        <v>0</v>
      </c>
      <c r="S25" s="66">
        <f t="shared" si="38"/>
        <v>0</v>
      </c>
      <c r="T25" s="66">
        <f t="shared" si="38"/>
        <v>0</v>
      </c>
      <c r="U25" s="66">
        <f t="shared" si="38"/>
        <v>0</v>
      </c>
      <c r="V25" s="66">
        <f t="shared" si="38"/>
        <v>0</v>
      </c>
      <c r="W25" s="66">
        <f t="shared" si="38"/>
        <v>0</v>
      </c>
      <c r="X25" s="66">
        <f t="shared" si="38"/>
        <v>0</v>
      </c>
      <c r="Y25" s="66">
        <f t="shared" si="38"/>
        <v>0</v>
      </c>
      <c r="Z25" s="66">
        <f t="shared" si="38"/>
        <v>0</v>
      </c>
      <c r="AA25" s="66">
        <f t="shared" si="38"/>
        <v>0</v>
      </c>
      <c r="AB25" s="66">
        <f t="shared" si="38"/>
        <v>0</v>
      </c>
      <c r="AC25" s="66">
        <f t="shared" si="38"/>
        <v>0</v>
      </c>
      <c r="AD25" s="66">
        <f t="shared" si="38"/>
        <v>0</v>
      </c>
      <c r="AE25" s="66">
        <f t="shared" si="38"/>
        <v>0</v>
      </c>
      <c r="AF25" s="66">
        <f t="shared" si="38"/>
        <v>0</v>
      </c>
      <c r="AG25" s="66">
        <f t="shared" si="38"/>
        <v>0</v>
      </c>
      <c r="AH25" s="66">
        <f t="shared" si="38"/>
        <v>0</v>
      </c>
      <c r="AI25" s="66">
        <f t="shared" si="38"/>
        <v>0</v>
      </c>
      <c r="AJ25" s="66">
        <f t="shared" si="38"/>
        <v>0</v>
      </c>
      <c r="AK25" s="66">
        <f t="shared" si="38"/>
        <v>0</v>
      </c>
      <c r="AL25" s="66">
        <f t="shared" si="38"/>
        <v>0</v>
      </c>
      <c r="AM25" s="66">
        <f t="shared" si="38"/>
        <v>0</v>
      </c>
      <c r="AN25" s="66">
        <f t="shared" si="38"/>
        <v>0</v>
      </c>
      <c r="AO25" s="66">
        <f t="shared" si="38"/>
        <v>0</v>
      </c>
      <c r="AP25" s="66">
        <f t="shared" si="38"/>
        <v>0</v>
      </c>
      <c r="AQ25" s="66">
        <f t="shared" si="38"/>
        <v>0</v>
      </c>
      <c r="AR25" s="66">
        <f t="shared" si="38"/>
        <v>0</v>
      </c>
      <c r="AS25" s="66">
        <f t="shared" si="38"/>
        <v>0</v>
      </c>
    </row>
    <row r="26" spans="1:45">
      <c r="A26" s="57"/>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row>
    <row r="27" spans="1:45">
      <c r="A27" s="57"/>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row>
    <row r="28" spans="1:45" ht="14.5">
      <c r="A28" s="126" t="s">
        <v>55</v>
      </c>
      <c r="B28" s="126"/>
      <c r="C28" s="126"/>
      <c r="D28" s="126"/>
      <c r="E28" s="126"/>
      <c r="F28" s="126"/>
      <c r="G28" s="126"/>
      <c r="H28" s="126"/>
      <c r="I28" s="126"/>
      <c r="J28" s="126"/>
      <c r="K28" s="126"/>
      <c r="L28" s="126"/>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row>
    <row r="29" spans="1:45">
      <c r="A29" s="68" t="s">
        <v>57</v>
      </c>
      <c r="B29" s="68" t="s">
        <v>22</v>
      </c>
      <c r="C29" s="68">
        <v>2026</v>
      </c>
      <c r="D29" s="68">
        <v>2027</v>
      </c>
      <c r="E29" s="68">
        <v>2028</v>
      </c>
      <c r="F29" s="68">
        <v>2029</v>
      </c>
      <c r="G29" s="68">
        <v>2030</v>
      </c>
      <c r="H29" s="68">
        <v>2031</v>
      </c>
      <c r="I29" s="68">
        <v>2032</v>
      </c>
      <c r="J29" s="68">
        <v>2033</v>
      </c>
      <c r="K29" s="68">
        <v>2034</v>
      </c>
      <c r="L29" s="68">
        <v>2035</v>
      </c>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row>
    <row r="30" spans="1:45">
      <c r="A30" s="57">
        <v>0</v>
      </c>
      <c r="B30" s="57" t="s">
        <v>58</v>
      </c>
      <c r="C30" s="62">
        <f>0</f>
        <v>0</v>
      </c>
      <c r="D30" s="62">
        <f>0</f>
        <v>0</v>
      </c>
      <c r="E30" s="62">
        <f>0</f>
        <v>0</v>
      </c>
      <c r="F30" s="62">
        <f>0</f>
        <v>0</v>
      </c>
      <c r="G30" s="62">
        <f>0</f>
        <v>0</v>
      </c>
      <c r="H30" s="62">
        <f>0</f>
        <v>0</v>
      </c>
      <c r="I30" s="62">
        <f>0</f>
        <v>0</v>
      </c>
      <c r="J30" s="62">
        <f>0</f>
        <v>0</v>
      </c>
      <c r="K30" s="62">
        <f>0</f>
        <v>0</v>
      </c>
      <c r="L30" s="62">
        <f>0</f>
        <v>0</v>
      </c>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row>
    <row r="31" spans="1:45">
      <c r="A31" s="57">
        <v>0</v>
      </c>
      <c r="B31" s="57" t="s">
        <v>59</v>
      </c>
      <c r="C31" s="62">
        <f>0</f>
        <v>0</v>
      </c>
      <c r="D31" s="62">
        <f>0</f>
        <v>0</v>
      </c>
      <c r="E31" s="62">
        <f>0</f>
        <v>0</v>
      </c>
      <c r="F31" s="62">
        <f>0</f>
        <v>0</v>
      </c>
      <c r="G31" s="62">
        <f>0</f>
        <v>0</v>
      </c>
      <c r="H31" s="62">
        <f>0</f>
        <v>0</v>
      </c>
      <c r="I31" s="62">
        <f>0</f>
        <v>0</v>
      </c>
      <c r="J31" s="62">
        <f>0</f>
        <v>0</v>
      </c>
      <c r="K31" s="62">
        <f>0</f>
        <v>0</v>
      </c>
      <c r="L31" s="62">
        <f>0</f>
        <v>0</v>
      </c>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row>
    <row r="32" spans="1:45">
      <c r="A32" s="57">
        <v>0</v>
      </c>
      <c r="B32" s="57" t="s">
        <v>60</v>
      </c>
      <c r="C32" s="62">
        <f>0</f>
        <v>0</v>
      </c>
      <c r="D32" s="62">
        <f>0</f>
        <v>0</v>
      </c>
      <c r="E32" s="62">
        <f>0</f>
        <v>0</v>
      </c>
      <c r="F32" s="62">
        <f>0</f>
        <v>0</v>
      </c>
      <c r="G32" s="62">
        <f>0</f>
        <v>0</v>
      </c>
      <c r="H32" s="62">
        <f>0</f>
        <v>0</v>
      </c>
      <c r="I32" s="62">
        <f>0</f>
        <v>0</v>
      </c>
      <c r="J32" s="62">
        <f>0</f>
        <v>0</v>
      </c>
      <c r="K32" s="62">
        <f>0</f>
        <v>0</v>
      </c>
      <c r="L32" s="62">
        <f>0</f>
        <v>0</v>
      </c>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row>
    <row r="33" spans="1:45">
      <c r="A33" s="57">
        <v>0</v>
      </c>
      <c r="B33" s="57" t="s">
        <v>61</v>
      </c>
      <c r="C33" s="62">
        <f>0</f>
        <v>0</v>
      </c>
      <c r="D33" s="62">
        <f>0</f>
        <v>0</v>
      </c>
      <c r="E33" s="62">
        <f>0</f>
        <v>0</v>
      </c>
      <c r="F33" s="62">
        <f>0</f>
        <v>0</v>
      </c>
      <c r="G33" s="62">
        <f>0</f>
        <v>0</v>
      </c>
      <c r="H33" s="62">
        <f>0</f>
        <v>0</v>
      </c>
      <c r="I33" s="62">
        <f>0</f>
        <v>0</v>
      </c>
      <c r="J33" s="62">
        <f>0</f>
        <v>0</v>
      </c>
      <c r="K33" s="62">
        <f>0</f>
        <v>0</v>
      </c>
      <c r="L33" s="62">
        <f>0</f>
        <v>0</v>
      </c>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row>
    <row r="34" spans="1:45">
      <c r="A34" s="57">
        <v>0</v>
      </c>
      <c r="B34" s="57" t="s">
        <v>155</v>
      </c>
      <c r="C34" s="62">
        <f>0</f>
        <v>0</v>
      </c>
      <c r="D34" s="62">
        <f>0</f>
        <v>0</v>
      </c>
      <c r="E34" s="62">
        <f>0</f>
        <v>0</v>
      </c>
      <c r="F34" s="62">
        <f>0</f>
        <v>0</v>
      </c>
      <c r="G34" s="62">
        <f>0</f>
        <v>0</v>
      </c>
      <c r="H34" s="62">
        <f>0</f>
        <v>0</v>
      </c>
      <c r="I34" s="62">
        <f>0</f>
        <v>0</v>
      </c>
      <c r="J34" s="62">
        <f>0</f>
        <v>0</v>
      </c>
      <c r="K34" s="62">
        <f>0</f>
        <v>0</v>
      </c>
      <c r="L34" s="62">
        <f>0</f>
        <v>0</v>
      </c>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row>
    <row r="35" spans="1:45">
      <c r="A35" s="57">
        <v>0</v>
      </c>
      <c r="B35" s="57" t="s">
        <v>62</v>
      </c>
      <c r="C35" s="62">
        <f>'3. Finansinės prielaidos'!C29</f>
        <v>0</v>
      </c>
      <c r="D35" s="62">
        <f>'3. Finansinės prielaidos'!D29</f>
        <v>0</v>
      </c>
      <c r="E35" s="62">
        <f>'3. Finansinės prielaidos'!E29</f>
        <v>0</v>
      </c>
      <c r="F35" s="62">
        <f>'3. Finansinės prielaidos'!F29</f>
        <v>0</v>
      </c>
      <c r="G35" s="62">
        <f>'3. Finansinės prielaidos'!G29</f>
        <v>0</v>
      </c>
      <c r="H35" s="62">
        <f>'3. Finansinės prielaidos'!H29</f>
        <v>0</v>
      </c>
      <c r="I35" s="62">
        <f>'3. Finansinės prielaidos'!I29</f>
        <v>0</v>
      </c>
      <c r="J35" s="62">
        <f>'3. Finansinės prielaidos'!J29</f>
        <v>0</v>
      </c>
      <c r="K35" s="62">
        <f>'3. Finansinės prielaidos'!K29</f>
        <v>0</v>
      </c>
      <c r="L35" s="62">
        <f>'3. Finansinės prielaidos'!L29</f>
        <v>0</v>
      </c>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row>
    <row r="36" spans="1:45">
      <c r="A36" s="57">
        <v>0</v>
      </c>
      <c r="B36" s="57" t="s">
        <v>159</v>
      </c>
      <c r="C36" s="62">
        <f>'3. Finansinės prielaidos'!C30</f>
        <v>0</v>
      </c>
      <c r="D36" s="62">
        <f>'3. Finansinės prielaidos'!D30</f>
        <v>0</v>
      </c>
      <c r="E36" s="62">
        <f>'3. Finansinės prielaidos'!E30</f>
        <v>0</v>
      </c>
      <c r="F36" s="62">
        <f>'3. Finansinės prielaidos'!F30</f>
        <v>0</v>
      </c>
      <c r="G36" s="62">
        <f>'3. Finansinės prielaidos'!G30</f>
        <v>0</v>
      </c>
      <c r="H36" s="62">
        <f>'3. Finansinės prielaidos'!H30</f>
        <v>0</v>
      </c>
      <c r="I36" s="62">
        <f>'3. Finansinės prielaidos'!I30</f>
        <v>0</v>
      </c>
      <c r="J36" s="62">
        <f>'3. Finansinės prielaidos'!J30</f>
        <v>0</v>
      </c>
      <c r="K36" s="62">
        <f>'3. Finansinės prielaidos'!K30</f>
        <v>0</v>
      </c>
      <c r="L36" s="62">
        <f>'3. Finansinės prielaidos'!L30</f>
        <v>0</v>
      </c>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row>
    <row r="37" spans="1:45">
      <c r="A37" s="57">
        <v>0</v>
      </c>
      <c r="B37" s="57" t="s">
        <v>160</v>
      </c>
      <c r="C37" s="62">
        <f>'3. Finansinės prielaidos'!C31</f>
        <v>0</v>
      </c>
      <c r="D37" s="62">
        <f>'3. Finansinės prielaidos'!D31</f>
        <v>0</v>
      </c>
      <c r="E37" s="62">
        <f>'3. Finansinės prielaidos'!E31</f>
        <v>0</v>
      </c>
      <c r="F37" s="62">
        <f>'3. Finansinės prielaidos'!F31</f>
        <v>0</v>
      </c>
      <c r="G37" s="62">
        <f>'3. Finansinės prielaidos'!G31</f>
        <v>0</v>
      </c>
      <c r="H37" s="62">
        <f>'3. Finansinės prielaidos'!H31</f>
        <v>0</v>
      </c>
      <c r="I37" s="62">
        <f>'3. Finansinės prielaidos'!I31</f>
        <v>0</v>
      </c>
      <c r="J37" s="62">
        <f>'3. Finansinės prielaidos'!J31</f>
        <v>0</v>
      </c>
      <c r="K37" s="62">
        <f>'3. Finansinės prielaidos'!K31</f>
        <v>0</v>
      </c>
      <c r="L37" s="62">
        <f>'3. Finansinės prielaidos'!L31</f>
        <v>0</v>
      </c>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row>
    <row r="38" spans="1:45">
      <c r="A38" s="57">
        <v>0</v>
      </c>
      <c r="B38" s="57" t="s">
        <v>23</v>
      </c>
      <c r="C38" s="62" t="str">
        <f t="shared" ref="C38:L38" si="39">IF(OR(C35="",C36="",C37="",C35&lt;=0),"",(C36-C37)/C35)</f>
        <v/>
      </c>
      <c r="D38" s="62" t="str">
        <f t="shared" si="39"/>
        <v/>
      </c>
      <c r="E38" s="62" t="str">
        <f t="shared" si="39"/>
        <v/>
      </c>
      <c r="F38" s="62" t="str">
        <f t="shared" si="39"/>
        <v/>
      </c>
      <c r="G38" s="62" t="str">
        <f t="shared" si="39"/>
        <v/>
      </c>
      <c r="H38" s="62" t="str">
        <f t="shared" si="39"/>
        <v/>
      </c>
      <c r="I38" s="62" t="str">
        <f t="shared" si="39"/>
        <v/>
      </c>
      <c r="J38" s="62" t="str">
        <f t="shared" si="39"/>
        <v/>
      </c>
      <c r="K38" s="62" t="str">
        <f t="shared" si="39"/>
        <v/>
      </c>
      <c r="L38" s="62" t="str">
        <f t="shared" si="39"/>
        <v/>
      </c>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row>
    <row r="39" spans="1:45">
      <c r="A39" s="57">
        <v>0</v>
      </c>
      <c r="B39" s="57" t="s">
        <v>24</v>
      </c>
      <c r="C39" s="62" t="str">
        <f>IF(OR(C35="",C35&lt;=0,'3. Finansinės prielaidos'!C32=""),"",IF('3. Finansinės prielaidos'!C32=0,999999,C35/'3. Finansinės prielaidos'!C32))</f>
        <v/>
      </c>
      <c r="D39" s="62" t="str">
        <f>IF(OR(D35="",D35&lt;=0,'3. Finansinės prielaidos'!D32=""),"",IF('3. Finansinės prielaidos'!D32=0,999999,D35/'3. Finansinės prielaidos'!D32))</f>
        <v/>
      </c>
      <c r="E39" s="62" t="str">
        <f>IF(OR(E35="",E35&lt;=0,'3. Finansinės prielaidos'!E32=""),"",IF('3. Finansinės prielaidos'!E32=0,999999,E35/'3. Finansinės prielaidos'!E32))</f>
        <v/>
      </c>
      <c r="F39" s="62" t="str">
        <f>IF(OR(F35="",F35&lt;=0,'3. Finansinės prielaidos'!F32=""),"",IF('3. Finansinės prielaidos'!F32=0,999999,F35/'3. Finansinės prielaidos'!F32))</f>
        <v/>
      </c>
      <c r="G39" s="62" t="str">
        <f>IF(OR(G35="",G35&lt;=0,'3. Finansinės prielaidos'!G32=""),"",IF('3. Finansinės prielaidos'!G32=0,999999,G35/'3. Finansinės prielaidos'!G32))</f>
        <v/>
      </c>
      <c r="H39" s="62" t="str">
        <f>IF(OR(H35="",H35&lt;=0,'3. Finansinės prielaidos'!H32=""),"",IF('3. Finansinės prielaidos'!H32=0,999999,H35/'3. Finansinės prielaidos'!H32))</f>
        <v/>
      </c>
      <c r="I39" s="62" t="str">
        <f>IF(OR(I35="",I35&lt;=0,'3. Finansinės prielaidos'!I32=""),"",IF('3. Finansinės prielaidos'!I32=0,999999,I35/'3. Finansinės prielaidos'!I32))</f>
        <v/>
      </c>
      <c r="J39" s="62" t="str">
        <f>IF(OR(J35="",J35&lt;=0,'3. Finansinės prielaidos'!J32=""),"",IF('3. Finansinės prielaidos'!J32=0,999999,J35/'3. Finansinės prielaidos'!J32))</f>
        <v/>
      </c>
      <c r="K39" s="62" t="str">
        <f>IF(OR(K35="",K35&lt;=0,'3. Finansinės prielaidos'!K32=""),"",IF('3. Finansinės prielaidos'!K32=0,999999,K35/'3. Finansinės prielaidos'!K32))</f>
        <v/>
      </c>
      <c r="L39" s="62" t="str">
        <f>IF(OR(L35="",L35&lt;=0,'3. Finansinės prielaidos'!L32=""),"",IF('3. Finansinės prielaidos'!L32=0,999999,L35/'3. Finansinės prielaidos'!L32))</f>
        <v/>
      </c>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row>
    <row r="40" spans="1:45">
      <c r="A40" s="57">
        <v>1</v>
      </c>
      <c r="B40" s="57" t="s">
        <v>58</v>
      </c>
      <c r="C40" s="62">
        <f>SUM('4. Metinis CAPEX'!F$9:F$9)</f>
        <v>0</v>
      </c>
      <c r="D40" s="62">
        <f>SUM('4. Metinis CAPEX'!G$9:G$9)</f>
        <v>0</v>
      </c>
      <c r="E40" s="62">
        <f>SUM('4. Metinis CAPEX'!H$9:H$9)</f>
        <v>0</v>
      </c>
      <c r="F40" s="62">
        <f>SUM('4. Metinis CAPEX'!I$9:I$9)</f>
        <v>0</v>
      </c>
      <c r="G40" s="62">
        <f>SUM('4. Metinis CAPEX'!J$9:J$9)</f>
        <v>0</v>
      </c>
      <c r="H40" s="62">
        <f>SUM('4. Metinis CAPEX'!K$9:K$9)</f>
        <v>0</v>
      </c>
      <c r="I40" s="62">
        <f>SUM('4. Metinis CAPEX'!L$9:L$9)</f>
        <v>0</v>
      </c>
      <c r="J40" s="62">
        <f>SUM('4. Metinis CAPEX'!M$9:M$9)</f>
        <v>0</v>
      </c>
      <c r="K40" s="62">
        <f>SUM('4. Metinis CAPEX'!N$9:N$9)</f>
        <v>0</v>
      </c>
      <c r="L40" s="62">
        <f>SUM('4. Metinis CAPEX'!O$9:O$9)</f>
        <v>0</v>
      </c>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row>
    <row r="41" spans="1:45">
      <c r="A41" s="57">
        <v>1</v>
      </c>
      <c r="B41" s="57" t="s">
        <v>59</v>
      </c>
      <c r="C41" s="62">
        <f t="shared" ref="C41:L41" si="40">SUM(F$5:F$5)</f>
        <v>0</v>
      </c>
      <c r="D41" s="62">
        <f t="shared" si="40"/>
        <v>0</v>
      </c>
      <c r="E41" s="62">
        <f t="shared" si="40"/>
        <v>0</v>
      </c>
      <c r="F41" s="62">
        <f t="shared" si="40"/>
        <v>0</v>
      </c>
      <c r="G41" s="62">
        <f t="shared" si="40"/>
        <v>0</v>
      </c>
      <c r="H41" s="62">
        <f t="shared" si="40"/>
        <v>0</v>
      </c>
      <c r="I41" s="62">
        <f t="shared" si="40"/>
        <v>0</v>
      </c>
      <c r="J41" s="62">
        <f t="shared" si="40"/>
        <v>0</v>
      </c>
      <c r="K41" s="62">
        <f t="shared" si="40"/>
        <v>0</v>
      </c>
      <c r="L41" s="62">
        <f t="shared" si="40"/>
        <v>0</v>
      </c>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row>
    <row r="42" spans="1:45">
      <c r="A42" s="57">
        <v>1</v>
      </c>
      <c r="B42" s="57" t="s">
        <v>60</v>
      </c>
      <c r="C42" s="62">
        <f t="shared" ref="C42:L42" si="41">SUM(Z$5:Z$5)</f>
        <v>0</v>
      </c>
      <c r="D42" s="62">
        <f t="shared" si="41"/>
        <v>0</v>
      </c>
      <c r="E42" s="62">
        <f t="shared" si="41"/>
        <v>0</v>
      </c>
      <c r="F42" s="62">
        <f t="shared" si="41"/>
        <v>0</v>
      </c>
      <c r="G42" s="62">
        <f t="shared" si="41"/>
        <v>0</v>
      </c>
      <c r="H42" s="62">
        <f t="shared" si="41"/>
        <v>0</v>
      </c>
      <c r="I42" s="62">
        <f t="shared" si="41"/>
        <v>0</v>
      </c>
      <c r="J42" s="62">
        <f t="shared" si="41"/>
        <v>0</v>
      </c>
      <c r="K42" s="62">
        <f t="shared" si="41"/>
        <v>0</v>
      </c>
      <c r="L42" s="62">
        <f t="shared" si="41"/>
        <v>0</v>
      </c>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row>
    <row r="43" spans="1:45">
      <c r="A43" s="57">
        <v>1</v>
      </c>
      <c r="B43" s="57" t="s">
        <v>61</v>
      </c>
      <c r="C43" s="62">
        <f t="shared" ref="C43:L43" si="42">SUM(AJ$5:AJ$5)</f>
        <v>0</v>
      </c>
      <c r="D43" s="62">
        <f t="shared" si="42"/>
        <v>0</v>
      </c>
      <c r="E43" s="62">
        <f t="shared" si="42"/>
        <v>0</v>
      </c>
      <c r="F43" s="62">
        <f t="shared" si="42"/>
        <v>0</v>
      </c>
      <c r="G43" s="62">
        <f t="shared" si="42"/>
        <v>0</v>
      </c>
      <c r="H43" s="62">
        <f t="shared" si="42"/>
        <v>0</v>
      </c>
      <c r="I43" s="62">
        <f t="shared" si="42"/>
        <v>0</v>
      </c>
      <c r="J43" s="62">
        <f t="shared" si="42"/>
        <v>0</v>
      </c>
      <c r="K43" s="62">
        <f t="shared" si="42"/>
        <v>0</v>
      </c>
      <c r="L43" s="62">
        <f t="shared" si="42"/>
        <v>0</v>
      </c>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row>
    <row r="44" spans="1:45">
      <c r="A44" s="57">
        <v>1</v>
      </c>
      <c r="B44" s="57" t="s">
        <v>155</v>
      </c>
      <c r="C44" s="62" t="e" cm="1">
        <f t="array" ref="C44">SUMPRODUCT(--(2026&gt;'2. Investicijos'!$F$5:$F$5),--(2026&lt;='2. Investicijos'!$F$5:$F$5+'2. Investicijos'!$G$5:$G$5),IFERROR(('2. Investicijos'!$M$5:$M$5+'2. Investicijos'!$N$5:$N$5)/'2. Investicijos'!$G$5:$G$5,0))+SUMPRODUCT(--(2026&gt;'2. Investicijos'!$F$5:$F$5),--(2026&lt;='2. Investicijos'!$F$5:$F$5+'2. Investicijos'!$G$5:$G$5),IFERROR(('2. Investicijos'!$M$5:$M$5+'2. Investicijos'!$N$5:$N$5)*(1-((2026-'2. Investicijos'!$F$5:$F$5)-1)/'2. Investicijos'!$G$5:$G$5),0)*'5. 0% scenarijus'!$C$5)</f>
        <v>#VALUE!</v>
      </c>
      <c r="D44" s="62" t="e" cm="1">
        <f t="array" ref="D44">SUMPRODUCT(--(2027&gt;'2. Investicijos'!$F$5:$F$5),--(2027&lt;='2. Investicijos'!$F$5:$F$5+'2. Investicijos'!$G$5:$G$5),IFERROR(('2. Investicijos'!$M$5:$M$5+'2. Investicijos'!$N$5:$N$5)/'2. Investicijos'!$G$5:$G$5,0))+SUMPRODUCT(--(2027&gt;'2. Investicijos'!$F$5:$F$5),--(2027&lt;='2. Investicijos'!$F$5:$F$5+'2. Investicijos'!$G$5:$G$5),IFERROR(('2. Investicijos'!$M$5:$M$5+'2. Investicijos'!$N$5:$N$5)*(1-((2027-'2. Investicijos'!$F$5:$F$5)-1)/'2. Investicijos'!$G$5:$G$5),0)*'5. 0% scenarijus'!$C$5)</f>
        <v>#VALUE!</v>
      </c>
      <c r="E44" s="62" t="e" cm="1">
        <f t="array" ref="E44">SUMPRODUCT(--(2028&gt;'2. Investicijos'!$F$5:$F$5),--(2028&lt;='2. Investicijos'!$F$5:$F$5+'2. Investicijos'!$G$5:$G$5),IFERROR(('2. Investicijos'!$M$5:$M$5+'2. Investicijos'!$N$5:$N$5)/'2. Investicijos'!$G$5:$G$5,0))+SUMPRODUCT(--(2028&gt;'2. Investicijos'!$F$5:$F$5),--(2028&lt;='2. Investicijos'!$F$5:$F$5+'2. Investicijos'!$G$5:$G$5),IFERROR(('2. Investicijos'!$M$5:$M$5+'2. Investicijos'!$N$5:$N$5)*(1-((2028-'2. Investicijos'!$F$5:$F$5)-1)/'2. Investicijos'!$G$5:$G$5),0)*'5. 0% scenarijus'!$C$5)</f>
        <v>#VALUE!</v>
      </c>
      <c r="F44" s="62" t="e" cm="1">
        <f t="array" ref="F44">SUMPRODUCT(--(2029&gt;'2. Investicijos'!$F$5:$F$5),--(2029&lt;='2. Investicijos'!$F$5:$F$5+'2. Investicijos'!$G$5:$G$5),IFERROR(('2. Investicijos'!$M$5:$M$5+'2. Investicijos'!$N$5:$N$5)/'2. Investicijos'!$G$5:$G$5,0))+SUMPRODUCT(--(2029&gt;'2. Investicijos'!$F$5:$F$5),--(2029&lt;='2. Investicijos'!$F$5:$F$5+'2. Investicijos'!$G$5:$G$5),IFERROR(('2. Investicijos'!$M$5:$M$5+'2. Investicijos'!$N$5:$N$5)*(1-((2029-'2. Investicijos'!$F$5:$F$5)-1)/'2. Investicijos'!$G$5:$G$5),0)*'5. 0% scenarijus'!$C$5)</f>
        <v>#VALUE!</v>
      </c>
      <c r="G44" s="62" t="e" cm="1">
        <f t="array" ref="G44">SUMPRODUCT(--(2030&gt;'2. Investicijos'!$F$5:$F$5),--(2030&lt;='2. Investicijos'!$F$5:$F$5+'2. Investicijos'!$G$5:$G$5),IFERROR(('2. Investicijos'!$M$5:$M$5+'2. Investicijos'!$N$5:$N$5)/'2. Investicijos'!$G$5:$G$5,0))+SUMPRODUCT(--(2030&gt;'2. Investicijos'!$F$5:$F$5),--(2030&lt;='2. Investicijos'!$F$5:$F$5+'2. Investicijos'!$G$5:$G$5),IFERROR(('2. Investicijos'!$M$5:$M$5+'2. Investicijos'!$N$5:$N$5)*(1-((2030-'2. Investicijos'!$F$5:$F$5)-1)/'2. Investicijos'!$G$5:$G$5),0)*'5. 0% scenarijus'!$C$5)</f>
        <v>#VALUE!</v>
      </c>
      <c r="H44" s="62" t="e" cm="1">
        <f t="array" ref="H44">SUMPRODUCT(--(2031&gt;'2. Investicijos'!$F$5:$F$5),--(2031&lt;='2. Investicijos'!$F$5:$F$5+'2. Investicijos'!$G$5:$G$5),IFERROR(('2. Investicijos'!$M$5:$M$5+'2. Investicijos'!$N$5:$N$5)/'2. Investicijos'!$G$5:$G$5,0))+SUMPRODUCT(--(2031&gt;'2. Investicijos'!$F$5:$F$5),--(2031&lt;='2. Investicijos'!$F$5:$F$5+'2. Investicijos'!$G$5:$G$5),IFERROR(('2. Investicijos'!$M$5:$M$5+'2. Investicijos'!$N$5:$N$5)*(1-((2031-'2. Investicijos'!$F$5:$F$5)-1)/'2. Investicijos'!$G$5:$G$5),0)*'5. 0% scenarijus'!$C$5)</f>
        <v>#VALUE!</v>
      </c>
      <c r="I44" s="62" t="e" cm="1">
        <f t="array" ref="I44">SUMPRODUCT(--(2032&gt;'2. Investicijos'!$F$5:$F$5),--(2032&lt;='2. Investicijos'!$F$5:$F$5+'2. Investicijos'!$G$5:$G$5),IFERROR(('2. Investicijos'!$M$5:$M$5+'2. Investicijos'!$N$5:$N$5)/'2. Investicijos'!$G$5:$G$5,0))+SUMPRODUCT(--(2032&gt;'2. Investicijos'!$F$5:$F$5),--(2032&lt;='2. Investicijos'!$F$5:$F$5+'2. Investicijos'!$G$5:$G$5),IFERROR(('2. Investicijos'!$M$5:$M$5+'2. Investicijos'!$N$5:$N$5)*(1-((2032-'2. Investicijos'!$F$5:$F$5)-1)/'2. Investicijos'!$G$5:$G$5),0)*'5. 0% scenarijus'!$C$5)</f>
        <v>#VALUE!</v>
      </c>
      <c r="J44" s="62" t="e" cm="1">
        <f t="array" ref="J44">SUMPRODUCT(--(2033&gt;'2. Investicijos'!$F$5:$F$5),--(2033&lt;='2. Investicijos'!$F$5:$F$5+'2. Investicijos'!$G$5:$G$5),IFERROR(('2. Investicijos'!$M$5:$M$5+'2. Investicijos'!$N$5:$N$5)/'2. Investicijos'!$G$5:$G$5,0))+SUMPRODUCT(--(2033&gt;'2. Investicijos'!$F$5:$F$5),--(2033&lt;='2. Investicijos'!$F$5:$F$5+'2. Investicijos'!$G$5:$G$5),IFERROR(('2. Investicijos'!$M$5:$M$5+'2. Investicijos'!$N$5:$N$5)*(1-((2033-'2. Investicijos'!$F$5:$F$5)-1)/'2. Investicijos'!$G$5:$G$5),0)*'5. 0% scenarijus'!$C$5)</f>
        <v>#VALUE!</v>
      </c>
      <c r="K44" s="62" t="e" cm="1">
        <f t="array" ref="K44">SUMPRODUCT(--(2034&gt;'2. Investicijos'!$F$5:$F$5),--(2034&lt;='2. Investicijos'!$F$5:$F$5+'2. Investicijos'!$G$5:$G$5),IFERROR(('2. Investicijos'!$M$5:$M$5+'2. Investicijos'!$N$5:$N$5)/'2. Investicijos'!$G$5:$G$5,0))+SUMPRODUCT(--(2034&gt;'2. Investicijos'!$F$5:$F$5),--(2034&lt;='2. Investicijos'!$F$5:$F$5+'2. Investicijos'!$G$5:$G$5),IFERROR(('2. Investicijos'!$M$5:$M$5+'2. Investicijos'!$N$5:$N$5)*(1-((2034-'2. Investicijos'!$F$5:$F$5)-1)/'2. Investicijos'!$G$5:$G$5),0)*'5. 0% scenarijus'!$C$5)</f>
        <v>#VALUE!</v>
      </c>
      <c r="L44" s="62" t="e" cm="1">
        <f t="array" ref="L44">SUMPRODUCT(--(2035&gt;'2. Investicijos'!$F$5:$F$5),--(2035&lt;='2. Investicijos'!$F$5:$F$5+'2. Investicijos'!$G$5:$G$5),IFERROR(('2. Investicijos'!$M$5:$M$5+'2. Investicijos'!$N$5:$N$5)/'2. Investicijos'!$G$5:$G$5,0))+SUMPRODUCT(--(2035&gt;'2. Investicijos'!$F$5:$F$5),--(2035&lt;='2. Investicijos'!$F$5:$F$5+'2. Investicijos'!$G$5:$G$5),IFERROR(('2. Investicijos'!$M$5:$M$5+'2. Investicijos'!$N$5:$N$5)*(1-((2035-'2. Investicijos'!$F$5:$F$5)-1)/'2. Investicijos'!$G$5:$G$5),0)*'5. 0% scenarijus'!$C$5)</f>
        <v>#VALUE!</v>
      </c>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row>
    <row r="45" spans="1:45">
      <c r="A45" s="57">
        <v>1</v>
      </c>
      <c r="B45" s="57" t="s">
        <v>62</v>
      </c>
      <c r="C45" s="62" t="e">
        <f>'3. Finansinės prielaidos'!C29+C44</f>
        <v>#VALUE!</v>
      </c>
      <c r="D45" s="62" t="e">
        <f>'3. Finansinės prielaidos'!D29+D44</f>
        <v>#VALUE!</v>
      </c>
      <c r="E45" s="62" t="e">
        <f>'3. Finansinės prielaidos'!E29+E44</f>
        <v>#VALUE!</v>
      </c>
      <c r="F45" s="62" t="e">
        <f>'3. Finansinės prielaidos'!F29+F44</f>
        <v>#VALUE!</v>
      </c>
      <c r="G45" s="62" t="e">
        <f>'3. Finansinės prielaidos'!G29+G44</f>
        <v>#VALUE!</v>
      </c>
      <c r="H45" s="62" t="e">
        <f>'3. Finansinės prielaidos'!H29+H44</f>
        <v>#VALUE!</v>
      </c>
      <c r="I45" s="62" t="e">
        <f>'3. Finansinės prielaidos'!I29+I44</f>
        <v>#VALUE!</v>
      </c>
      <c r="J45" s="62" t="e">
        <f>'3. Finansinės prielaidos'!J29+J44</f>
        <v>#VALUE!</v>
      </c>
      <c r="K45" s="62" t="e">
        <f>'3. Finansinės prielaidos'!K29+K44</f>
        <v>#VALUE!</v>
      </c>
      <c r="L45" s="62" t="e">
        <f>'3. Finansinės prielaidos'!L29+L44</f>
        <v>#VALUE!</v>
      </c>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row>
    <row r="46" spans="1:45">
      <c r="A46" s="57">
        <v>1</v>
      </c>
      <c r="B46" s="57" t="s">
        <v>159</v>
      </c>
      <c r="C46" s="62">
        <f>'3. Finansinės prielaidos'!C30+C43</f>
        <v>0</v>
      </c>
      <c r="D46" s="62">
        <f>'3. Finansinės prielaidos'!D30+D43</f>
        <v>0</v>
      </c>
      <c r="E46" s="62">
        <f>'3. Finansinės prielaidos'!E30+E43</f>
        <v>0</v>
      </c>
      <c r="F46" s="62">
        <f>'3. Finansinės prielaidos'!F30+F43</f>
        <v>0</v>
      </c>
      <c r="G46" s="62">
        <f>'3. Finansinės prielaidos'!G30+G43</f>
        <v>0</v>
      </c>
      <c r="H46" s="62">
        <f>'3. Finansinės prielaidos'!H30+H43</f>
        <v>0</v>
      </c>
      <c r="I46" s="62">
        <f>'3. Finansinės prielaidos'!I30+I43</f>
        <v>0</v>
      </c>
      <c r="J46" s="62">
        <f>'3. Finansinės prielaidos'!J30+J43</f>
        <v>0</v>
      </c>
      <c r="K46" s="62">
        <f>'3. Finansinės prielaidos'!K30+K43</f>
        <v>0</v>
      </c>
      <c r="L46" s="62">
        <f>'3. Finansinės prielaidos'!L30+L43</f>
        <v>0</v>
      </c>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row>
    <row r="47" spans="1:45">
      <c r="A47" s="57">
        <v>1</v>
      </c>
      <c r="B47" s="57" t="s">
        <v>160</v>
      </c>
      <c r="C47" s="62" t="e" cm="1">
        <f t="array" ref="C47">'3. Finansinės prielaidos'!C31+C44+C41+SUMPRODUCT('4. Metinis CAPEX'!F$9:F$9,IFERROR(('2. Investicijos'!$I$5:$I$5+'2. Investicijos'!$J$5:$J$5+'2. Investicijos'!$K$5:$K$5+'2. Investicijos'!$L$5:$L$5)/'2. Investicijos'!$H$5:$H$5,0))-C40-SUM(P$5:P$5)-C42-0</f>
        <v>#VALUE!</v>
      </c>
      <c r="D47" s="62" t="e" cm="1">
        <f t="array" ref="D47">C47+('3. Finansinės prielaidos'!D31-'3. Finansinės prielaidos'!C31)+D44+D41+SUMPRODUCT('4. Metinis CAPEX'!G$9:G$9,IFERROR(('2. Investicijos'!$I$5:$I$5+'2. Investicijos'!$J$5:$J$5+'2. Investicijos'!$K$5:$K$5+'2. Investicijos'!$L$5:$L$5)/'2. Investicijos'!$H$5:$H$5,0))-D40-SUM(Q$5:Q$5)-D42-MAX(0,-C47)*IFERROR(SUMPRODUCT('2. Investicijos'!$N$5:$N$5,'2. Investicijos'!$O$5:$O$5/100)/SUM('2. Investicijos'!$N$5:$N$5),0)</f>
        <v>#VALUE!</v>
      </c>
      <c r="E47" s="62" t="e" cm="1">
        <f t="array" ref="E47">D47+('3. Finansinės prielaidos'!E31-'3. Finansinės prielaidos'!D31)+E44+E41+SUMPRODUCT('4. Metinis CAPEX'!H$9:H$9,IFERROR(('2. Investicijos'!$I$5:$I$5+'2. Investicijos'!$J$5:$J$5+'2. Investicijos'!$K$5:$K$5+'2. Investicijos'!$L$5:$L$5)/'2. Investicijos'!$H$5:$H$5,0))-E40-SUM(R$5:R$5)-E42-MAX(0,-D47)*IFERROR(SUMPRODUCT('2. Investicijos'!$N$5:$N$5,'2. Investicijos'!$O$5:$O$5/100)/SUM('2. Investicijos'!$N$5:$N$5),0)</f>
        <v>#VALUE!</v>
      </c>
      <c r="F47" s="62" t="e" cm="1">
        <f t="array" ref="F47">E47+('3. Finansinės prielaidos'!F31-'3. Finansinės prielaidos'!E31)+F44+F41+SUMPRODUCT('4. Metinis CAPEX'!I$9:I$9,IFERROR(('2. Investicijos'!$I$5:$I$5+'2. Investicijos'!$J$5:$J$5+'2. Investicijos'!$K$5:$K$5+'2. Investicijos'!$L$5:$L$5)/'2. Investicijos'!$H$5:$H$5,0))-F40-SUM(S$5:S$5)-F42-MAX(0,-E47)*IFERROR(SUMPRODUCT('2. Investicijos'!$N$5:$N$5,'2. Investicijos'!$O$5:$O$5/100)/SUM('2. Investicijos'!$N$5:$N$5),0)</f>
        <v>#VALUE!</v>
      </c>
      <c r="G47" s="62" t="e" cm="1">
        <f t="array" ref="G47">F47+('3. Finansinės prielaidos'!G31-'3. Finansinės prielaidos'!F31)+G44+G41+SUMPRODUCT('4. Metinis CAPEX'!J$9:J$9,IFERROR(('2. Investicijos'!$I$5:$I$5+'2. Investicijos'!$J$5:$J$5+'2. Investicijos'!$K$5:$K$5+'2. Investicijos'!$L$5:$L$5)/'2. Investicijos'!$H$5:$H$5,0))-G40-SUM(T$5:T$5)-G42-MAX(0,-F47)*IFERROR(SUMPRODUCT('2. Investicijos'!$N$5:$N$5,'2. Investicijos'!$O$5:$O$5/100)/SUM('2. Investicijos'!$N$5:$N$5),0)</f>
        <v>#VALUE!</v>
      </c>
      <c r="H47" s="62" t="e" cm="1">
        <f t="array" ref="H47">G47+('3. Finansinės prielaidos'!H31-'3. Finansinės prielaidos'!G31)+H44+H41+SUMPRODUCT('4. Metinis CAPEX'!K$9:K$9,IFERROR(('2. Investicijos'!$I$5:$I$5+'2. Investicijos'!$J$5:$J$5+'2. Investicijos'!$K$5:$K$5+'2. Investicijos'!$L$5:$L$5)/'2. Investicijos'!$H$5:$H$5,0))-H40-SUM(U$5:U$5)-H42-MAX(0,-G47)*IFERROR(SUMPRODUCT('2. Investicijos'!$N$5:$N$5,'2. Investicijos'!$O$5:$O$5/100)/SUM('2. Investicijos'!$N$5:$N$5),0)</f>
        <v>#VALUE!</v>
      </c>
      <c r="I47" s="62" t="e" cm="1">
        <f t="array" ref="I47">H47+('3. Finansinės prielaidos'!I31-'3. Finansinės prielaidos'!H31)+I44+I41+SUMPRODUCT('4. Metinis CAPEX'!L$9:L$9,IFERROR(('2. Investicijos'!$I$5:$I$5+'2. Investicijos'!$J$5:$J$5+'2. Investicijos'!$K$5:$K$5+'2. Investicijos'!$L$5:$L$5)/'2. Investicijos'!$H$5:$H$5,0))-I40-SUM(V$5:V$5)-I42-MAX(0,-H47)*IFERROR(SUMPRODUCT('2. Investicijos'!$N$5:$N$5,'2. Investicijos'!$O$5:$O$5/100)/SUM('2. Investicijos'!$N$5:$N$5),0)</f>
        <v>#VALUE!</v>
      </c>
      <c r="J47" s="62" t="e" cm="1">
        <f t="array" ref="J47">I47+('3. Finansinės prielaidos'!J31-'3. Finansinės prielaidos'!I31)+J44+J41+SUMPRODUCT('4. Metinis CAPEX'!M$9:M$9,IFERROR(('2. Investicijos'!$I$5:$I$5+'2. Investicijos'!$J$5:$J$5+'2. Investicijos'!$K$5:$K$5+'2. Investicijos'!$L$5:$L$5)/'2. Investicijos'!$H$5:$H$5,0))-J40-SUM(W$5:W$5)-J42-MAX(0,-I47)*IFERROR(SUMPRODUCT('2. Investicijos'!$N$5:$N$5,'2. Investicijos'!$O$5:$O$5/100)/SUM('2. Investicijos'!$N$5:$N$5),0)</f>
        <v>#VALUE!</v>
      </c>
      <c r="K47" s="62" t="e" cm="1">
        <f t="array" ref="K47">J47+('3. Finansinės prielaidos'!K31-'3. Finansinės prielaidos'!J31)+K44+K41+SUMPRODUCT('4. Metinis CAPEX'!N$9:N$9,IFERROR(('2. Investicijos'!$I$5:$I$5+'2. Investicijos'!$J$5:$J$5+'2. Investicijos'!$K$5:$K$5+'2. Investicijos'!$L$5:$L$5)/'2. Investicijos'!$H$5:$H$5,0))-K40-SUM(X$5:X$5)-K42-MAX(0,-J47)*IFERROR(SUMPRODUCT('2. Investicijos'!$N$5:$N$5,'2. Investicijos'!$O$5:$O$5/100)/SUM('2. Investicijos'!$N$5:$N$5),0)</f>
        <v>#VALUE!</v>
      </c>
      <c r="L47" s="62" t="e" cm="1">
        <f t="array" ref="L47">K47+('3. Finansinės prielaidos'!L31-'3. Finansinės prielaidos'!K31)+L44+L41+SUMPRODUCT('4. Metinis CAPEX'!O$9:O$9,IFERROR(('2. Investicijos'!$I$5:$I$5+'2. Investicijos'!$J$5:$J$5+'2. Investicijos'!$K$5:$K$5+'2. Investicijos'!$L$5:$L$5)/'2. Investicijos'!$H$5:$H$5,0))-L40-SUM(Y$5:Y$5)-L42-MAX(0,-K47)*IFERROR(SUMPRODUCT('2. Investicijos'!$N$5:$N$5,'2. Investicijos'!$O$5:$O$5/100)/SUM('2. Investicijos'!$N$5:$N$5),0)</f>
        <v>#VALUE!</v>
      </c>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row>
    <row r="48" spans="1:45">
      <c r="A48" s="57">
        <v>1</v>
      </c>
      <c r="B48" s="57" t="s">
        <v>23</v>
      </c>
      <c r="C48" s="62" t="e">
        <f t="shared" ref="C48:L48" si="43">IF(OR(C45="",C46="",C47="",C45&lt;=0),"",(C46-C47)/C45)</f>
        <v>#VALUE!</v>
      </c>
      <c r="D48" s="62" t="e">
        <f t="shared" si="43"/>
        <v>#VALUE!</v>
      </c>
      <c r="E48" s="62" t="e">
        <f t="shared" si="43"/>
        <v>#VALUE!</v>
      </c>
      <c r="F48" s="62" t="e">
        <f t="shared" si="43"/>
        <v>#VALUE!</v>
      </c>
      <c r="G48" s="62" t="e">
        <f t="shared" si="43"/>
        <v>#VALUE!</v>
      </c>
      <c r="H48" s="62" t="e">
        <f t="shared" si="43"/>
        <v>#VALUE!</v>
      </c>
      <c r="I48" s="62" t="e">
        <f t="shared" si="43"/>
        <v>#VALUE!</v>
      </c>
      <c r="J48" s="62" t="e">
        <f t="shared" si="43"/>
        <v>#VALUE!</v>
      </c>
      <c r="K48" s="62" t="e">
        <f t="shared" si="43"/>
        <v>#VALUE!</v>
      </c>
      <c r="L48" s="62" t="e">
        <f t="shared" si="43"/>
        <v>#VALUE!</v>
      </c>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row>
    <row r="49" spans="1:45">
      <c r="A49" s="57">
        <v>1</v>
      </c>
      <c r="B49" s="57" t="s">
        <v>24</v>
      </c>
      <c r="C49" s="62" t="e">
        <f>IF(OR(C45="",C45&lt;=0,'3. Finansinės prielaidos'!C32=""),"",IF('3. Finansinės prielaidos'!C32+SUM(P$5:P$5)+C42+0=0,999999,C45/('3. Finansinės prielaidos'!C32+SUM(P$5:P$5)+C42+0)))</f>
        <v>#VALUE!</v>
      </c>
      <c r="D49" s="62" t="e" cm="1">
        <f t="array" ref="D49">IF(OR(D45="",D45&lt;=0,'3. Finansinės prielaidos'!D32=""),"",IF('3. Finansinės prielaidos'!D32+SUM(Q$5:Q$5)+D42+MAX(0,-C47)*IFERROR(SUMPRODUCT('2. Investicijos'!$N$5:$N$5,'2. Investicijos'!$O$5:$O$5/100)/SUM('2. Investicijos'!$N$5:$N$5),0)=0,999999,D45/('3. Finansinės prielaidos'!D32+SUM(Q$5:Q$5)+D42+MAX(0,-C47)*IFERROR(SUMPRODUCT('2. Investicijos'!$N$5:$N$5,'2. Investicijos'!$O$5:$O$5/100)/SUM('2. Investicijos'!$N$5:$N$5),0))))</f>
        <v>#VALUE!</v>
      </c>
      <c r="E49" s="62" t="e" cm="1">
        <f t="array" ref="E49">IF(OR(E45="",E45&lt;=0,'3. Finansinės prielaidos'!E32=""),"",IF('3. Finansinės prielaidos'!E32+SUM(R$5:R$5)+E42+MAX(0,-D47)*IFERROR(SUMPRODUCT('2. Investicijos'!$N$5:$N$5,'2. Investicijos'!$O$5:$O$5/100)/SUM('2. Investicijos'!$N$5:$N$5),0)=0,999999,E45/('3. Finansinės prielaidos'!E32+SUM(R$5:R$5)+E42+MAX(0,-D47)*IFERROR(SUMPRODUCT('2. Investicijos'!$N$5:$N$5,'2. Investicijos'!$O$5:$O$5/100)/SUM('2. Investicijos'!$N$5:$N$5),0))))</f>
        <v>#VALUE!</v>
      </c>
      <c r="F49" s="62" t="e" cm="1">
        <f t="array" ref="F49">IF(OR(F45="",F45&lt;=0,'3. Finansinės prielaidos'!F32=""),"",IF('3. Finansinės prielaidos'!F32+SUM(S$5:S$5)+F42+MAX(0,-E47)*IFERROR(SUMPRODUCT('2. Investicijos'!$N$5:$N$5,'2. Investicijos'!$O$5:$O$5/100)/SUM('2. Investicijos'!$N$5:$N$5),0)=0,999999,F45/('3. Finansinės prielaidos'!F32+SUM(S$5:S$5)+F42+MAX(0,-E47)*IFERROR(SUMPRODUCT('2. Investicijos'!$N$5:$N$5,'2. Investicijos'!$O$5:$O$5/100)/SUM('2. Investicijos'!$N$5:$N$5),0))))</f>
        <v>#VALUE!</v>
      </c>
      <c r="G49" s="62" t="e" cm="1">
        <f t="array" ref="G49">IF(OR(G45="",G45&lt;=0,'3. Finansinės prielaidos'!G32=""),"",IF('3. Finansinės prielaidos'!G32+SUM(T$5:T$5)+G42+MAX(0,-F47)*IFERROR(SUMPRODUCT('2. Investicijos'!$N$5:$N$5,'2. Investicijos'!$O$5:$O$5/100)/SUM('2. Investicijos'!$N$5:$N$5),0)=0,999999,G45/('3. Finansinės prielaidos'!G32+SUM(T$5:T$5)+G42+MAX(0,-F47)*IFERROR(SUMPRODUCT('2. Investicijos'!$N$5:$N$5,'2. Investicijos'!$O$5:$O$5/100)/SUM('2. Investicijos'!$N$5:$N$5),0))))</f>
        <v>#VALUE!</v>
      </c>
      <c r="H49" s="62" t="e" cm="1">
        <f t="array" ref="H49">IF(OR(H45="",H45&lt;=0,'3. Finansinės prielaidos'!H32=""),"",IF('3. Finansinės prielaidos'!H32+SUM(U$5:U$5)+H42+MAX(0,-G47)*IFERROR(SUMPRODUCT('2. Investicijos'!$N$5:$N$5,'2. Investicijos'!$O$5:$O$5/100)/SUM('2. Investicijos'!$N$5:$N$5),0)=0,999999,H45/('3. Finansinės prielaidos'!H32+SUM(U$5:U$5)+H42+MAX(0,-G47)*IFERROR(SUMPRODUCT('2. Investicijos'!$N$5:$N$5,'2. Investicijos'!$O$5:$O$5/100)/SUM('2. Investicijos'!$N$5:$N$5),0))))</f>
        <v>#VALUE!</v>
      </c>
      <c r="I49" s="62" t="e" cm="1">
        <f t="array" ref="I49">IF(OR(I45="",I45&lt;=0,'3. Finansinės prielaidos'!I32=""),"",IF('3. Finansinės prielaidos'!I32+SUM(V$5:V$5)+I42+MAX(0,-H47)*IFERROR(SUMPRODUCT('2. Investicijos'!$N$5:$N$5,'2. Investicijos'!$O$5:$O$5/100)/SUM('2. Investicijos'!$N$5:$N$5),0)=0,999999,I45/('3. Finansinės prielaidos'!I32+SUM(V$5:V$5)+I42+MAX(0,-H47)*IFERROR(SUMPRODUCT('2. Investicijos'!$N$5:$N$5,'2. Investicijos'!$O$5:$O$5/100)/SUM('2. Investicijos'!$N$5:$N$5),0))))</f>
        <v>#VALUE!</v>
      </c>
      <c r="J49" s="62" t="e" cm="1">
        <f t="array" ref="J49">IF(OR(J45="",J45&lt;=0,'3. Finansinės prielaidos'!J32=""),"",IF('3. Finansinės prielaidos'!J32+SUM(W$5:W$5)+J42+MAX(0,-I47)*IFERROR(SUMPRODUCT('2. Investicijos'!$N$5:$N$5,'2. Investicijos'!$O$5:$O$5/100)/SUM('2. Investicijos'!$N$5:$N$5),0)=0,999999,J45/('3. Finansinės prielaidos'!J32+SUM(W$5:W$5)+J42+MAX(0,-I47)*IFERROR(SUMPRODUCT('2. Investicijos'!$N$5:$N$5,'2. Investicijos'!$O$5:$O$5/100)/SUM('2. Investicijos'!$N$5:$N$5),0))))</f>
        <v>#VALUE!</v>
      </c>
      <c r="K49" s="62" t="e" cm="1">
        <f t="array" ref="K49">IF(OR(K45="",K45&lt;=0,'3. Finansinės prielaidos'!K32=""),"",IF('3. Finansinės prielaidos'!K32+SUM(X$5:X$5)+K42+MAX(0,-J47)*IFERROR(SUMPRODUCT('2. Investicijos'!$N$5:$N$5,'2. Investicijos'!$O$5:$O$5/100)/SUM('2. Investicijos'!$N$5:$N$5),0)=0,999999,K45/('3. Finansinės prielaidos'!K32+SUM(X$5:X$5)+K42+MAX(0,-J47)*IFERROR(SUMPRODUCT('2. Investicijos'!$N$5:$N$5,'2. Investicijos'!$O$5:$O$5/100)/SUM('2. Investicijos'!$N$5:$N$5),0))))</f>
        <v>#VALUE!</v>
      </c>
      <c r="L49" s="62" t="e" cm="1">
        <f t="array" ref="L49">IF(OR(L45="",L45&lt;=0,'3. Finansinės prielaidos'!L32=""),"",IF('3. Finansinės prielaidos'!L32+SUM(Y$5:Y$5)+L42+MAX(0,-K47)*IFERROR(SUMPRODUCT('2. Investicijos'!$N$5:$N$5,'2. Investicijos'!$O$5:$O$5/100)/SUM('2. Investicijos'!$N$5:$N$5),0)=0,999999,L45/('3. Finansinės prielaidos'!L32+SUM(Y$5:Y$5)+L42+MAX(0,-K47)*IFERROR(SUMPRODUCT('2. Investicijos'!$N$5:$N$5,'2. Investicijos'!$O$5:$O$5/100)/SUM('2. Investicijos'!$N$5:$N$5),0))))</f>
        <v>#VALUE!</v>
      </c>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row>
    <row r="50" spans="1:45">
      <c r="A50" s="57">
        <v>2</v>
      </c>
      <c r="B50" s="57" t="s">
        <v>58</v>
      </c>
      <c r="C50" s="62">
        <f>SUM('4. Metinis CAPEX'!F$9:F$10)</f>
        <v>0</v>
      </c>
      <c r="D50" s="62">
        <f>SUM('4. Metinis CAPEX'!G$9:G$10)</f>
        <v>0</v>
      </c>
      <c r="E50" s="62">
        <f>SUM('4. Metinis CAPEX'!H$9:H$10)</f>
        <v>0</v>
      </c>
      <c r="F50" s="62">
        <f>SUM('4. Metinis CAPEX'!I$9:I$10)</f>
        <v>0</v>
      </c>
      <c r="G50" s="62">
        <f>SUM('4. Metinis CAPEX'!J$9:J$10)</f>
        <v>0</v>
      </c>
      <c r="H50" s="62">
        <f>SUM('4. Metinis CAPEX'!K$9:K$10)</f>
        <v>0</v>
      </c>
      <c r="I50" s="62">
        <f>SUM('4. Metinis CAPEX'!L$9:L$10)</f>
        <v>0</v>
      </c>
      <c r="J50" s="62">
        <f>SUM('4. Metinis CAPEX'!M$9:M$10)</f>
        <v>0</v>
      </c>
      <c r="K50" s="62">
        <f>SUM('4. Metinis CAPEX'!N$9:N$10)</f>
        <v>0</v>
      </c>
      <c r="L50" s="62">
        <f>SUM('4. Metinis CAPEX'!O$9:O$10)</f>
        <v>0</v>
      </c>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row>
    <row r="51" spans="1:45">
      <c r="A51" s="57">
        <v>2</v>
      </c>
      <c r="B51" s="57" t="s">
        <v>59</v>
      </c>
      <c r="C51" s="62">
        <f t="shared" ref="C51:L51" si="44">SUM(F$5:F$6)</f>
        <v>0</v>
      </c>
      <c r="D51" s="62">
        <f t="shared" si="44"/>
        <v>0</v>
      </c>
      <c r="E51" s="62">
        <f t="shared" si="44"/>
        <v>0</v>
      </c>
      <c r="F51" s="62">
        <f t="shared" si="44"/>
        <v>0</v>
      </c>
      <c r="G51" s="62">
        <f t="shared" si="44"/>
        <v>0</v>
      </c>
      <c r="H51" s="62">
        <f t="shared" si="44"/>
        <v>0</v>
      </c>
      <c r="I51" s="62">
        <f t="shared" si="44"/>
        <v>0</v>
      </c>
      <c r="J51" s="62">
        <f t="shared" si="44"/>
        <v>0</v>
      </c>
      <c r="K51" s="62">
        <f t="shared" si="44"/>
        <v>0</v>
      </c>
      <c r="L51" s="62">
        <f t="shared" si="44"/>
        <v>0</v>
      </c>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row>
    <row r="52" spans="1:45">
      <c r="A52" s="57">
        <v>2</v>
      </c>
      <c r="B52" s="57" t="s">
        <v>60</v>
      </c>
      <c r="C52" s="62">
        <f t="shared" ref="C52:L52" si="45">SUM(Z$5:Z$6)</f>
        <v>0</v>
      </c>
      <c r="D52" s="62">
        <f t="shared" si="45"/>
        <v>0</v>
      </c>
      <c r="E52" s="62">
        <f t="shared" si="45"/>
        <v>0</v>
      </c>
      <c r="F52" s="62">
        <f t="shared" si="45"/>
        <v>0</v>
      </c>
      <c r="G52" s="62">
        <f t="shared" si="45"/>
        <v>0</v>
      </c>
      <c r="H52" s="62">
        <f t="shared" si="45"/>
        <v>0</v>
      </c>
      <c r="I52" s="62">
        <f t="shared" si="45"/>
        <v>0</v>
      </c>
      <c r="J52" s="62">
        <f t="shared" si="45"/>
        <v>0</v>
      </c>
      <c r="K52" s="62">
        <f t="shared" si="45"/>
        <v>0</v>
      </c>
      <c r="L52" s="62">
        <f t="shared" si="45"/>
        <v>0</v>
      </c>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row>
    <row r="53" spans="1:45">
      <c r="A53" s="57">
        <v>2</v>
      </c>
      <c r="B53" s="57" t="s">
        <v>61</v>
      </c>
      <c r="C53" s="62">
        <f t="shared" ref="C53:L53" si="46">SUM(AJ$5:AJ$6)</f>
        <v>0</v>
      </c>
      <c r="D53" s="62">
        <f t="shared" si="46"/>
        <v>0</v>
      </c>
      <c r="E53" s="62">
        <f t="shared" si="46"/>
        <v>0</v>
      </c>
      <c r="F53" s="62">
        <f t="shared" si="46"/>
        <v>0</v>
      </c>
      <c r="G53" s="62">
        <f t="shared" si="46"/>
        <v>0</v>
      </c>
      <c r="H53" s="62">
        <f t="shared" si="46"/>
        <v>0</v>
      </c>
      <c r="I53" s="62">
        <f t="shared" si="46"/>
        <v>0</v>
      </c>
      <c r="J53" s="62">
        <f t="shared" si="46"/>
        <v>0</v>
      </c>
      <c r="K53" s="62">
        <f t="shared" si="46"/>
        <v>0</v>
      </c>
      <c r="L53" s="62">
        <f t="shared" si="46"/>
        <v>0</v>
      </c>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row>
    <row r="54" spans="1:45">
      <c r="A54" s="57">
        <v>2</v>
      </c>
      <c r="B54" s="57" t="s">
        <v>155</v>
      </c>
      <c r="C54" s="62" t="e" cm="1">
        <f t="array" ref="C54">SUMPRODUCT(--(2026&gt;'2. Investicijos'!$F$5:$F$6),--(2026&lt;='2. Investicijos'!$F$5:$F$6+'2. Investicijos'!$G$5:$G$6),IFERROR(('2. Investicijos'!$M$5:$M$6+'2. Investicijos'!$N$5:$N$6)/'2. Investicijos'!$G$5:$G$6,0))+SUMPRODUCT(--(2026&gt;'2. Investicijos'!$F$5:$F$6),--(2026&lt;='2. Investicijos'!$F$5:$F$6+'2. Investicijos'!$G$5:$G$6),IFERROR(('2. Investicijos'!$M$5:$M$6+'2. Investicijos'!$N$5:$N$6)*(1-((2026-'2. Investicijos'!$F$5:$F$6)-1)/'2. Investicijos'!$G$5:$G$6),0)*'5. 0% scenarijus'!$C$5)</f>
        <v>#VALUE!</v>
      </c>
      <c r="D54" s="62" t="e" cm="1">
        <f t="array" ref="D54">SUMPRODUCT(--(2027&gt;'2. Investicijos'!$F$5:$F$6),--(2027&lt;='2. Investicijos'!$F$5:$F$6+'2. Investicijos'!$G$5:$G$6),IFERROR(('2. Investicijos'!$M$5:$M$6+'2. Investicijos'!$N$5:$N$6)/'2. Investicijos'!$G$5:$G$6,0))+SUMPRODUCT(--(2027&gt;'2. Investicijos'!$F$5:$F$6),--(2027&lt;='2. Investicijos'!$F$5:$F$6+'2. Investicijos'!$G$5:$G$6),IFERROR(('2. Investicijos'!$M$5:$M$6+'2. Investicijos'!$N$5:$N$6)*(1-((2027-'2. Investicijos'!$F$5:$F$6)-1)/'2. Investicijos'!$G$5:$G$6),0)*'5. 0% scenarijus'!$C$5)</f>
        <v>#VALUE!</v>
      </c>
      <c r="E54" s="62" t="e" cm="1">
        <f t="array" ref="E54">SUMPRODUCT(--(2028&gt;'2. Investicijos'!$F$5:$F$6),--(2028&lt;='2. Investicijos'!$F$5:$F$6+'2. Investicijos'!$G$5:$G$6),IFERROR(('2. Investicijos'!$M$5:$M$6+'2. Investicijos'!$N$5:$N$6)/'2. Investicijos'!$G$5:$G$6,0))+SUMPRODUCT(--(2028&gt;'2. Investicijos'!$F$5:$F$6),--(2028&lt;='2. Investicijos'!$F$5:$F$6+'2. Investicijos'!$G$5:$G$6),IFERROR(('2. Investicijos'!$M$5:$M$6+'2. Investicijos'!$N$5:$N$6)*(1-((2028-'2. Investicijos'!$F$5:$F$6)-1)/'2. Investicijos'!$G$5:$G$6),0)*'5. 0% scenarijus'!$C$5)</f>
        <v>#VALUE!</v>
      </c>
      <c r="F54" s="62" t="e" cm="1">
        <f t="array" ref="F54">SUMPRODUCT(--(2029&gt;'2. Investicijos'!$F$5:$F$6),--(2029&lt;='2. Investicijos'!$F$5:$F$6+'2. Investicijos'!$G$5:$G$6),IFERROR(('2. Investicijos'!$M$5:$M$6+'2. Investicijos'!$N$5:$N$6)/'2. Investicijos'!$G$5:$G$6,0))+SUMPRODUCT(--(2029&gt;'2. Investicijos'!$F$5:$F$6),--(2029&lt;='2. Investicijos'!$F$5:$F$6+'2. Investicijos'!$G$5:$G$6),IFERROR(('2. Investicijos'!$M$5:$M$6+'2. Investicijos'!$N$5:$N$6)*(1-((2029-'2. Investicijos'!$F$5:$F$6)-1)/'2. Investicijos'!$G$5:$G$6),0)*'5. 0% scenarijus'!$C$5)</f>
        <v>#VALUE!</v>
      </c>
      <c r="G54" s="62" t="e" cm="1">
        <f t="array" ref="G54">SUMPRODUCT(--(2030&gt;'2. Investicijos'!$F$5:$F$6),--(2030&lt;='2. Investicijos'!$F$5:$F$6+'2. Investicijos'!$G$5:$G$6),IFERROR(('2. Investicijos'!$M$5:$M$6+'2. Investicijos'!$N$5:$N$6)/'2. Investicijos'!$G$5:$G$6,0))+SUMPRODUCT(--(2030&gt;'2. Investicijos'!$F$5:$F$6),--(2030&lt;='2. Investicijos'!$F$5:$F$6+'2. Investicijos'!$G$5:$G$6),IFERROR(('2. Investicijos'!$M$5:$M$6+'2. Investicijos'!$N$5:$N$6)*(1-((2030-'2. Investicijos'!$F$5:$F$6)-1)/'2. Investicijos'!$G$5:$G$6),0)*'5. 0% scenarijus'!$C$5)</f>
        <v>#VALUE!</v>
      </c>
      <c r="H54" s="62" t="e" cm="1">
        <f t="array" ref="H54">SUMPRODUCT(--(2031&gt;'2. Investicijos'!$F$5:$F$6),--(2031&lt;='2. Investicijos'!$F$5:$F$6+'2. Investicijos'!$G$5:$G$6),IFERROR(('2. Investicijos'!$M$5:$M$6+'2. Investicijos'!$N$5:$N$6)/'2. Investicijos'!$G$5:$G$6,0))+SUMPRODUCT(--(2031&gt;'2. Investicijos'!$F$5:$F$6),--(2031&lt;='2. Investicijos'!$F$5:$F$6+'2. Investicijos'!$G$5:$G$6),IFERROR(('2. Investicijos'!$M$5:$M$6+'2. Investicijos'!$N$5:$N$6)*(1-((2031-'2. Investicijos'!$F$5:$F$6)-1)/'2. Investicijos'!$G$5:$G$6),0)*'5. 0% scenarijus'!$C$5)</f>
        <v>#VALUE!</v>
      </c>
      <c r="I54" s="62" t="e" cm="1">
        <f t="array" ref="I54">SUMPRODUCT(--(2032&gt;'2. Investicijos'!$F$5:$F$6),--(2032&lt;='2. Investicijos'!$F$5:$F$6+'2. Investicijos'!$G$5:$G$6),IFERROR(('2. Investicijos'!$M$5:$M$6+'2. Investicijos'!$N$5:$N$6)/'2. Investicijos'!$G$5:$G$6,0))+SUMPRODUCT(--(2032&gt;'2. Investicijos'!$F$5:$F$6),--(2032&lt;='2. Investicijos'!$F$5:$F$6+'2. Investicijos'!$G$5:$G$6),IFERROR(('2. Investicijos'!$M$5:$M$6+'2. Investicijos'!$N$5:$N$6)*(1-((2032-'2. Investicijos'!$F$5:$F$6)-1)/'2. Investicijos'!$G$5:$G$6),0)*'5. 0% scenarijus'!$C$5)</f>
        <v>#VALUE!</v>
      </c>
      <c r="J54" s="62" t="e" cm="1">
        <f t="array" ref="J54">SUMPRODUCT(--(2033&gt;'2. Investicijos'!$F$5:$F$6),--(2033&lt;='2. Investicijos'!$F$5:$F$6+'2. Investicijos'!$G$5:$G$6),IFERROR(('2. Investicijos'!$M$5:$M$6+'2. Investicijos'!$N$5:$N$6)/'2. Investicijos'!$G$5:$G$6,0))+SUMPRODUCT(--(2033&gt;'2. Investicijos'!$F$5:$F$6),--(2033&lt;='2. Investicijos'!$F$5:$F$6+'2. Investicijos'!$G$5:$G$6),IFERROR(('2. Investicijos'!$M$5:$M$6+'2. Investicijos'!$N$5:$N$6)*(1-((2033-'2. Investicijos'!$F$5:$F$6)-1)/'2. Investicijos'!$G$5:$G$6),0)*'5. 0% scenarijus'!$C$5)</f>
        <v>#VALUE!</v>
      </c>
      <c r="K54" s="62" t="e" cm="1">
        <f t="array" ref="K54">SUMPRODUCT(--(2034&gt;'2. Investicijos'!$F$5:$F$6),--(2034&lt;='2. Investicijos'!$F$5:$F$6+'2. Investicijos'!$G$5:$G$6),IFERROR(('2. Investicijos'!$M$5:$M$6+'2. Investicijos'!$N$5:$N$6)/'2. Investicijos'!$G$5:$G$6,0))+SUMPRODUCT(--(2034&gt;'2. Investicijos'!$F$5:$F$6),--(2034&lt;='2. Investicijos'!$F$5:$F$6+'2. Investicijos'!$G$5:$G$6),IFERROR(('2. Investicijos'!$M$5:$M$6+'2. Investicijos'!$N$5:$N$6)*(1-((2034-'2. Investicijos'!$F$5:$F$6)-1)/'2. Investicijos'!$G$5:$G$6),0)*'5. 0% scenarijus'!$C$5)</f>
        <v>#VALUE!</v>
      </c>
      <c r="L54" s="62" t="e" cm="1">
        <f t="array" ref="L54">SUMPRODUCT(--(2035&gt;'2. Investicijos'!$F$5:$F$6),--(2035&lt;='2. Investicijos'!$F$5:$F$6+'2. Investicijos'!$G$5:$G$6),IFERROR(('2. Investicijos'!$M$5:$M$6+'2. Investicijos'!$N$5:$N$6)/'2. Investicijos'!$G$5:$G$6,0))+SUMPRODUCT(--(2035&gt;'2. Investicijos'!$F$5:$F$6),--(2035&lt;='2. Investicijos'!$F$5:$F$6+'2. Investicijos'!$G$5:$G$6),IFERROR(('2. Investicijos'!$M$5:$M$6+'2. Investicijos'!$N$5:$N$6)*(1-((2035-'2. Investicijos'!$F$5:$F$6)-1)/'2. Investicijos'!$G$5:$G$6),0)*'5. 0% scenarijus'!$C$5)</f>
        <v>#VALUE!</v>
      </c>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row>
    <row r="55" spans="1:45">
      <c r="A55" s="57">
        <v>2</v>
      </c>
      <c r="B55" s="57" t="s">
        <v>62</v>
      </c>
      <c r="C55" s="62" t="e">
        <f>'3. Finansinės prielaidos'!C29+C54</f>
        <v>#VALUE!</v>
      </c>
      <c r="D55" s="62" t="e">
        <f>'3. Finansinės prielaidos'!D29+D54</f>
        <v>#VALUE!</v>
      </c>
      <c r="E55" s="62" t="e">
        <f>'3. Finansinės prielaidos'!E29+E54</f>
        <v>#VALUE!</v>
      </c>
      <c r="F55" s="62" t="e">
        <f>'3. Finansinės prielaidos'!F29+F54</f>
        <v>#VALUE!</v>
      </c>
      <c r="G55" s="62" t="e">
        <f>'3. Finansinės prielaidos'!G29+G54</f>
        <v>#VALUE!</v>
      </c>
      <c r="H55" s="62" t="e">
        <f>'3. Finansinės prielaidos'!H29+H54</f>
        <v>#VALUE!</v>
      </c>
      <c r="I55" s="62" t="e">
        <f>'3. Finansinės prielaidos'!I29+I54</f>
        <v>#VALUE!</v>
      </c>
      <c r="J55" s="62" t="e">
        <f>'3. Finansinės prielaidos'!J29+J54</f>
        <v>#VALUE!</v>
      </c>
      <c r="K55" s="62" t="e">
        <f>'3. Finansinės prielaidos'!K29+K54</f>
        <v>#VALUE!</v>
      </c>
      <c r="L55" s="62" t="e">
        <f>'3. Finansinės prielaidos'!L29+L54</f>
        <v>#VALUE!</v>
      </c>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row>
    <row r="56" spans="1:45">
      <c r="A56" s="57">
        <v>2</v>
      </c>
      <c r="B56" s="57" t="s">
        <v>159</v>
      </c>
      <c r="C56" s="62">
        <f>'3. Finansinės prielaidos'!C30+C53</f>
        <v>0</v>
      </c>
      <c r="D56" s="62">
        <f>'3. Finansinės prielaidos'!D30+D53</f>
        <v>0</v>
      </c>
      <c r="E56" s="62">
        <f>'3. Finansinės prielaidos'!E30+E53</f>
        <v>0</v>
      </c>
      <c r="F56" s="62">
        <f>'3. Finansinės prielaidos'!F30+F53</f>
        <v>0</v>
      </c>
      <c r="G56" s="62">
        <f>'3. Finansinės prielaidos'!G30+G53</f>
        <v>0</v>
      </c>
      <c r="H56" s="62">
        <f>'3. Finansinės prielaidos'!H30+H53</f>
        <v>0</v>
      </c>
      <c r="I56" s="62">
        <f>'3. Finansinės prielaidos'!I30+I53</f>
        <v>0</v>
      </c>
      <c r="J56" s="62">
        <f>'3. Finansinės prielaidos'!J30+J53</f>
        <v>0</v>
      </c>
      <c r="K56" s="62">
        <f>'3. Finansinės prielaidos'!K30+K53</f>
        <v>0</v>
      </c>
      <c r="L56" s="62">
        <f>'3. Finansinės prielaidos'!L30+L53</f>
        <v>0</v>
      </c>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row>
    <row r="57" spans="1:45">
      <c r="A57" s="57">
        <v>2</v>
      </c>
      <c r="B57" s="57" t="s">
        <v>160</v>
      </c>
      <c r="C57" s="62" t="e" cm="1">
        <f t="array" ref="C57">'3. Finansinės prielaidos'!C31+C54+C51+SUMPRODUCT('4. Metinis CAPEX'!F$9:F$10,IFERROR(('2. Investicijos'!$I$5:$I$6+'2. Investicijos'!$J$5:$J$6+'2. Investicijos'!$K$5:$K$6+'2. Investicijos'!$L$5:$L$6)/'2. Investicijos'!$H$5:$H$6,0))-C50-SUM(P$5:P$6)-C52-0</f>
        <v>#VALUE!</v>
      </c>
      <c r="D57" s="62" t="e" cm="1">
        <f t="array" ref="D57">C57+('3. Finansinės prielaidos'!D31-'3. Finansinės prielaidos'!C31)+D54+D51+SUMPRODUCT('4. Metinis CAPEX'!G$9:G$10,IFERROR(('2. Investicijos'!$I$5:$I$6+'2. Investicijos'!$J$5:$J$6+'2. Investicijos'!$K$5:$K$6+'2. Investicijos'!$L$5:$L$6)/'2. Investicijos'!$H$5:$H$6,0))-D50-SUM(Q$5:Q$6)-D52-MAX(0,-C57)*IFERROR(SUMPRODUCT('2. Investicijos'!$N$5:$N$6,'2. Investicijos'!$O$5:$O$6/100)/SUM('2. Investicijos'!$N$5:$N$6),0)</f>
        <v>#VALUE!</v>
      </c>
      <c r="E57" s="62" t="e" cm="1">
        <f t="array" ref="E57">D57+('3. Finansinės prielaidos'!E31-'3. Finansinės prielaidos'!D31)+E54+E51+SUMPRODUCT('4. Metinis CAPEX'!H$9:H$10,IFERROR(('2. Investicijos'!$I$5:$I$6+'2. Investicijos'!$J$5:$J$6+'2. Investicijos'!$K$5:$K$6+'2. Investicijos'!$L$5:$L$6)/'2. Investicijos'!$H$5:$H$6,0))-E50-SUM(R$5:R$6)-E52-MAX(0,-D57)*IFERROR(SUMPRODUCT('2. Investicijos'!$N$5:$N$6,'2. Investicijos'!$O$5:$O$6/100)/SUM('2. Investicijos'!$N$5:$N$6),0)</f>
        <v>#VALUE!</v>
      </c>
      <c r="F57" s="62" t="e" cm="1">
        <f t="array" ref="F57">E57+('3. Finansinės prielaidos'!F31-'3. Finansinės prielaidos'!E31)+F54+F51+SUMPRODUCT('4. Metinis CAPEX'!I$9:I$10,IFERROR(('2. Investicijos'!$I$5:$I$6+'2. Investicijos'!$J$5:$J$6+'2. Investicijos'!$K$5:$K$6+'2. Investicijos'!$L$5:$L$6)/'2. Investicijos'!$H$5:$H$6,0))-F50-SUM(S$5:S$6)-F52-MAX(0,-E57)*IFERROR(SUMPRODUCT('2. Investicijos'!$N$5:$N$6,'2. Investicijos'!$O$5:$O$6/100)/SUM('2. Investicijos'!$N$5:$N$6),0)</f>
        <v>#VALUE!</v>
      </c>
      <c r="G57" s="62" t="e" cm="1">
        <f t="array" ref="G57">F57+('3. Finansinės prielaidos'!G31-'3. Finansinės prielaidos'!F31)+G54+G51+SUMPRODUCT('4. Metinis CAPEX'!J$9:J$10,IFERROR(('2. Investicijos'!$I$5:$I$6+'2. Investicijos'!$J$5:$J$6+'2. Investicijos'!$K$5:$K$6+'2. Investicijos'!$L$5:$L$6)/'2. Investicijos'!$H$5:$H$6,0))-G50-SUM(T$5:T$6)-G52-MAX(0,-F57)*IFERROR(SUMPRODUCT('2. Investicijos'!$N$5:$N$6,'2. Investicijos'!$O$5:$O$6/100)/SUM('2. Investicijos'!$N$5:$N$6),0)</f>
        <v>#VALUE!</v>
      </c>
      <c r="H57" s="62" t="e" cm="1">
        <f t="array" ref="H57">G57+('3. Finansinės prielaidos'!H31-'3. Finansinės prielaidos'!G31)+H54+H51+SUMPRODUCT('4. Metinis CAPEX'!K$9:K$10,IFERROR(('2. Investicijos'!$I$5:$I$6+'2. Investicijos'!$J$5:$J$6+'2. Investicijos'!$K$5:$K$6+'2. Investicijos'!$L$5:$L$6)/'2. Investicijos'!$H$5:$H$6,0))-H50-SUM(U$5:U$6)-H52-MAX(0,-G57)*IFERROR(SUMPRODUCT('2. Investicijos'!$N$5:$N$6,'2. Investicijos'!$O$5:$O$6/100)/SUM('2. Investicijos'!$N$5:$N$6),0)</f>
        <v>#VALUE!</v>
      </c>
      <c r="I57" s="62" t="e" cm="1">
        <f t="array" ref="I57">H57+('3. Finansinės prielaidos'!I31-'3. Finansinės prielaidos'!H31)+I54+I51+SUMPRODUCT('4. Metinis CAPEX'!L$9:L$10,IFERROR(('2. Investicijos'!$I$5:$I$6+'2. Investicijos'!$J$5:$J$6+'2. Investicijos'!$K$5:$K$6+'2. Investicijos'!$L$5:$L$6)/'2. Investicijos'!$H$5:$H$6,0))-I50-SUM(V$5:V$6)-I52-MAX(0,-H57)*IFERROR(SUMPRODUCT('2. Investicijos'!$N$5:$N$6,'2. Investicijos'!$O$5:$O$6/100)/SUM('2. Investicijos'!$N$5:$N$6),0)</f>
        <v>#VALUE!</v>
      </c>
      <c r="J57" s="62" t="e" cm="1">
        <f t="array" ref="J57">I57+('3. Finansinės prielaidos'!J31-'3. Finansinės prielaidos'!I31)+J54+J51+SUMPRODUCT('4. Metinis CAPEX'!M$9:M$10,IFERROR(('2. Investicijos'!$I$5:$I$6+'2. Investicijos'!$J$5:$J$6+'2. Investicijos'!$K$5:$K$6+'2. Investicijos'!$L$5:$L$6)/'2. Investicijos'!$H$5:$H$6,0))-J50-SUM(W$5:W$6)-J52-MAX(0,-I57)*IFERROR(SUMPRODUCT('2. Investicijos'!$N$5:$N$6,'2. Investicijos'!$O$5:$O$6/100)/SUM('2. Investicijos'!$N$5:$N$6),0)</f>
        <v>#VALUE!</v>
      </c>
      <c r="K57" s="62" t="e" cm="1">
        <f t="array" ref="K57">J57+('3. Finansinės prielaidos'!K31-'3. Finansinės prielaidos'!J31)+K54+K51+SUMPRODUCT('4. Metinis CAPEX'!N$9:N$10,IFERROR(('2. Investicijos'!$I$5:$I$6+'2. Investicijos'!$J$5:$J$6+'2. Investicijos'!$K$5:$K$6+'2. Investicijos'!$L$5:$L$6)/'2. Investicijos'!$H$5:$H$6,0))-K50-SUM(X$5:X$6)-K52-MAX(0,-J57)*IFERROR(SUMPRODUCT('2. Investicijos'!$N$5:$N$6,'2. Investicijos'!$O$5:$O$6/100)/SUM('2. Investicijos'!$N$5:$N$6),0)</f>
        <v>#VALUE!</v>
      </c>
      <c r="L57" s="62" t="e" cm="1">
        <f t="array" ref="L57">K57+('3. Finansinės prielaidos'!L31-'3. Finansinės prielaidos'!K31)+L54+L51+SUMPRODUCT('4. Metinis CAPEX'!O$9:O$10,IFERROR(('2. Investicijos'!$I$5:$I$6+'2. Investicijos'!$J$5:$J$6+'2. Investicijos'!$K$5:$K$6+'2. Investicijos'!$L$5:$L$6)/'2. Investicijos'!$H$5:$H$6,0))-L50-SUM(Y$5:Y$6)-L52-MAX(0,-K57)*IFERROR(SUMPRODUCT('2. Investicijos'!$N$5:$N$6,'2. Investicijos'!$O$5:$O$6/100)/SUM('2. Investicijos'!$N$5:$N$6),0)</f>
        <v>#VALUE!</v>
      </c>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row>
    <row r="58" spans="1:45">
      <c r="A58" s="57">
        <v>2</v>
      </c>
      <c r="B58" s="57" t="s">
        <v>23</v>
      </c>
      <c r="C58" s="62" t="e">
        <f t="shared" ref="C58:L58" si="47">IF(OR(C55="",C56="",C57="",C55&lt;=0),"",(C56-C57)/C55)</f>
        <v>#VALUE!</v>
      </c>
      <c r="D58" s="62" t="e">
        <f t="shared" si="47"/>
        <v>#VALUE!</v>
      </c>
      <c r="E58" s="62" t="e">
        <f t="shared" si="47"/>
        <v>#VALUE!</v>
      </c>
      <c r="F58" s="62" t="e">
        <f t="shared" si="47"/>
        <v>#VALUE!</v>
      </c>
      <c r="G58" s="62" t="e">
        <f t="shared" si="47"/>
        <v>#VALUE!</v>
      </c>
      <c r="H58" s="62" t="e">
        <f t="shared" si="47"/>
        <v>#VALUE!</v>
      </c>
      <c r="I58" s="62" t="e">
        <f t="shared" si="47"/>
        <v>#VALUE!</v>
      </c>
      <c r="J58" s="62" t="e">
        <f t="shared" si="47"/>
        <v>#VALUE!</v>
      </c>
      <c r="K58" s="62" t="e">
        <f t="shared" si="47"/>
        <v>#VALUE!</v>
      </c>
      <c r="L58" s="62" t="e">
        <f t="shared" si="47"/>
        <v>#VALUE!</v>
      </c>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row>
    <row r="59" spans="1:45">
      <c r="A59" s="57">
        <v>2</v>
      </c>
      <c r="B59" s="57" t="s">
        <v>24</v>
      </c>
      <c r="C59" s="62" t="e">
        <f>IF(OR(C55="",C55&lt;=0,'3. Finansinės prielaidos'!C32=""),"",IF('3. Finansinės prielaidos'!C32+SUM(P$5:P$6)+C52+0=0,999999,C55/('3. Finansinės prielaidos'!C32+SUM(P$5:P$6)+C52+0)))</f>
        <v>#VALUE!</v>
      </c>
      <c r="D59" s="62" t="e" cm="1">
        <f t="array" ref="D59">IF(OR(D55="",D55&lt;=0,'3. Finansinės prielaidos'!D32=""),"",IF('3. Finansinės prielaidos'!D32+SUM(Q$5:Q$6)+D52+MAX(0,-C57)*IFERROR(SUMPRODUCT('2. Investicijos'!$N$5:$N$6,'2. Investicijos'!$O$5:$O$6/100)/SUM('2. Investicijos'!$N$5:$N$6),0)=0,999999,D55/('3. Finansinės prielaidos'!D32+SUM(Q$5:Q$6)+D52+MAX(0,-C57)*IFERROR(SUMPRODUCT('2. Investicijos'!$N$5:$N$6,'2. Investicijos'!$O$5:$O$6/100)/SUM('2. Investicijos'!$N$5:$N$6),0))))</f>
        <v>#VALUE!</v>
      </c>
      <c r="E59" s="62" t="e" cm="1">
        <f t="array" ref="E59">IF(OR(E55="",E55&lt;=0,'3. Finansinės prielaidos'!E32=""),"",IF('3. Finansinės prielaidos'!E32+SUM(R$5:R$6)+E52+MAX(0,-D57)*IFERROR(SUMPRODUCT('2. Investicijos'!$N$5:$N$6,'2. Investicijos'!$O$5:$O$6/100)/SUM('2. Investicijos'!$N$5:$N$6),0)=0,999999,E55/('3. Finansinės prielaidos'!E32+SUM(R$5:R$6)+E52+MAX(0,-D57)*IFERROR(SUMPRODUCT('2. Investicijos'!$N$5:$N$6,'2. Investicijos'!$O$5:$O$6/100)/SUM('2. Investicijos'!$N$5:$N$6),0))))</f>
        <v>#VALUE!</v>
      </c>
      <c r="F59" s="62" t="e" cm="1">
        <f t="array" ref="F59">IF(OR(F55="",F55&lt;=0,'3. Finansinės prielaidos'!F32=""),"",IF('3. Finansinės prielaidos'!F32+SUM(S$5:S$6)+F52+MAX(0,-E57)*IFERROR(SUMPRODUCT('2. Investicijos'!$N$5:$N$6,'2. Investicijos'!$O$5:$O$6/100)/SUM('2. Investicijos'!$N$5:$N$6),0)=0,999999,F55/('3. Finansinės prielaidos'!F32+SUM(S$5:S$6)+F52+MAX(0,-E57)*IFERROR(SUMPRODUCT('2. Investicijos'!$N$5:$N$6,'2. Investicijos'!$O$5:$O$6/100)/SUM('2. Investicijos'!$N$5:$N$6),0))))</f>
        <v>#VALUE!</v>
      </c>
      <c r="G59" s="62" t="e" cm="1">
        <f t="array" ref="G59">IF(OR(G55="",G55&lt;=0,'3. Finansinės prielaidos'!G32=""),"",IF('3. Finansinės prielaidos'!G32+SUM(T$5:T$6)+G52+MAX(0,-F57)*IFERROR(SUMPRODUCT('2. Investicijos'!$N$5:$N$6,'2. Investicijos'!$O$5:$O$6/100)/SUM('2. Investicijos'!$N$5:$N$6),0)=0,999999,G55/('3. Finansinės prielaidos'!G32+SUM(T$5:T$6)+G52+MAX(0,-F57)*IFERROR(SUMPRODUCT('2. Investicijos'!$N$5:$N$6,'2. Investicijos'!$O$5:$O$6/100)/SUM('2. Investicijos'!$N$5:$N$6),0))))</f>
        <v>#VALUE!</v>
      </c>
      <c r="H59" s="62" t="e" cm="1">
        <f t="array" ref="H59">IF(OR(H55="",H55&lt;=0,'3. Finansinės prielaidos'!H32=""),"",IF('3. Finansinės prielaidos'!H32+SUM(U$5:U$6)+H52+MAX(0,-G57)*IFERROR(SUMPRODUCT('2. Investicijos'!$N$5:$N$6,'2. Investicijos'!$O$5:$O$6/100)/SUM('2. Investicijos'!$N$5:$N$6),0)=0,999999,H55/('3. Finansinės prielaidos'!H32+SUM(U$5:U$6)+H52+MAX(0,-G57)*IFERROR(SUMPRODUCT('2. Investicijos'!$N$5:$N$6,'2. Investicijos'!$O$5:$O$6/100)/SUM('2. Investicijos'!$N$5:$N$6),0))))</f>
        <v>#VALUE!</v>
      </c>
      <c r="I59" s="62" t="e" cm="1">
        <f t="array" ref="I59">IF(OR(I55="",I55&lt;=0,'3. Finansinės prielaidos'!I32=""),"",IF('3. Finansinės prielaidos'!I32+SUM(V$5:V$6)+I52+MAX(0,-H57)*IFERROR(SUMPRODUCT('2. Investicijos'!$N$5:$N$6,'2. Investicijos'!$O$5:$O$6/100)/SUM('2. Investicijos'!$N$5:$N$6),0)=0,999999,I55/('3. Finansinės prielaidos'!I32+SUM(V$5:V$6)+I52+MAX(0,-H57)*IFERROR(SUMPRODUCT('2. Investicijos'!$N$5:$N$6,'2. Investicijos'!$O$5:$O$6/100)/SUM('2. Investicijos'!$N$5:$N$6),0))))</f>
        <v>#VALUE!</v>
      </c>
      <c r="J59" s="62" t="e" cm="1">
        <f t="array" ref="J59">IF(OR(J55="",J55&lt;=0,'3. Finansinės prielaidos'!J32=""),"",IF('3. Finansinės prielaidos'!J32+SUM(W$5:W$6)+J52+MAX(0,-I57)*IFERROR(SUMPRODUCT('2. Investicijos'!$N$5:$N$6,'2. Investicijos'!$O$5:$O$6/100)/SUM('2. Investicijos'!$N$5:$N$6),0)=0,999999,J55/('3. Finansinės prielaidos'!J32+SUM(W$5:W$6)+J52+MAX(0,-I57)*IFERROR(SUMPRODUCT('2. Investicijos'!$N$5:$N$6,'2. Investicijos'!$O$5:$O$6/100)/SUM('2. Investicijos'!$N$5:$N$6),0))))</f>
        <v>#VALUE!</v>
      </c>
      <c r="K59" s="62" t="e" cm="1">
        <f t="array" ref="K59">IF(OR(K55="",K55&lt;=0,'3. Finansinės prielaidos'!K32=""),"",IF('3. Finansinės prielaidos'!K32+SUM(X$5:X$6)+K52+MAX(0,-J57)*IFERROR(SUMPRODUCT('2. Investicijos'!$N$5:$N$6,'2. Investicijos'!$O$5:$O$6/100)/SUM('2. Investicijos'!$N$5:$N$6),0)=0,999999,K55/('3. Finansinės prielaidos'!K32+SUM(X$5:X$6)+K52+MAX(0,-J57)*IFERROR(SUMPRODUCT('2. Investicijos'!$N$5:$N$6,'2. Investicijos'!$O$5:$O$6/100)/SUM('2. Investicijos'!$N$5:$N$6),0))))</f>
        <v>#VALUE!</v>
      </c>
      <c r="L59" s="62" t="e" cm="1">
        <f t="array" ref="L59">IF(OR(L55="",L55&lt;=0,'3. Finansinės prielaidos'!L32=""),"",IF('3. Finansinės prielaidos'!L32+SUM(Y$5:Y$6)+L52+MAX(0,-K57)*IFERROR(SUMPRODUCT('2. Investicijos'!$N$5:$N$6,'2. Investicijos'!$O$5:$O$6/100)/SUM('2. Investicijos'!$N$5:$N$6),0)=0,999999,L55/('3. Finansinės prielaidos'!L32+SUM(Y$5:Y$6)+L52+MAX(0,-K57)*IFERROR(SUMPRODUCT('2. Investicijos'!$N$5:$N$6,'2. Investicijos'!$O$5:$O$6/100)/SUM('2. Investicijos'!$N$5:$N$6),0))))</f>
        <v>#VALUE!</v>
      </c>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row>
    <row r="60" spans="1:45">
      <c r="A60" s="57">
        <v>3</v>
      </c>
      <c r="B60" s="57" t="s">
        <v>58</v>
      </c>
      <c r="C60" s="62">
        <f>SUM('4. Metinis CAPEX'!F$9:F$11)</f>
        <v>0</v>
      </c>
      <c r="D60" s="62">
        <f>SUM('4. Metinis CAPEX'!G$9:G$11)</f>
        <v>0</v>
      </c>
      <c r="E60" s="62">
        <f>SUM('4. Metinis CAPEX'!H$9:H$11)</f>
        <v>0</v>
      </c>
      <c r="F60" s="62">
        <f>SUM('4. Metinis CAPEX'!I$9:I$11)</f>
        <v>0</v>
      </c>
      <c r="G60" s="62">
        <f>SUM('4. Metinis CAPEX'!J$9:J$11)</f>
        <v>0</v>
      </c>
      <c r="H60" s="62">
        <f>SUM('4. Metinis CAPEX'!K$9:K$11)</f>
        <v>0</v>
      </c>
      <c r="I60" s="62">
        <f>SUM('4. Metinis CAPEX'!L$9:L$11)</f>
        <v>0</v>
      </c>
      <c r="J60" s="62">
        <f>SUM('4. Metinis CAPEX'!M$9:M$11)</f>
        <v>0</v>
      </c>
      <c r="K60" s="62">
        <f>SUM('4. Metinis CAPEX'!N$9:N$11)</f>
        <v>0</v>
      </c>
      <c r="L60" s="62">
        <f>SUM('4. Metinis CAPEX'!O$9:O$11)</f>
        <v>0</v>
      </c>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row>
    <row r="61" spans="1:45">
      <c r="A61" s="57">
        <v>3</v>
      </c>
      <c r="B61" s="57" t="s">
        <v>59</v>
      </c>
      <c r="C61" s="62">
        <f t="shared" ref="C61:L61" si="48">SUM(F$5:F$7)</f>
        <v>0</v>
      </c>
      <c r="D61" s="62">
        <f t="shared" si="48"/>
        <v>0</v>
      </c>
      <c r="E61" s="62">
        <f t="shared" si="48"/>
        <v>0</v>
      </c>
      <c r="F61" s="62">
        <f t="shared" si="48"/>
        <v>0</v>
      </c>
      <c r="G61" s="62">
        <f t="shared" si="48"/>
        <v>0</v>
      </c>
      <c r="H61" s="62">
        <f t="shared" si="48"/>
        <v>0</v>
      </c>
      <c r="I61" s="62">
        <f t="shared" si="48"/>
        <v>0</v>
      </c>
      <c r="J61" s="62">
        <f t="shared" si="48"/>
        <v>0</v>
      </c>
      <c r="K61" s="62">
        <f t="shared" si="48"/>
        <v>0</v>
      </c>
      <c r="L61" s="62">
        <f t="shared" si="48"/>
        <v>0</v>
      </c>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row>
    <row r="62" spans="1:45">
      <c r="A62" s="57">
        <v>3</v>
      </c>
      <c r="B62" s="57" t="s">
        <v>60</v>
      </c>
      <c r="C62" s="62">
        <f t="shared" ref="C62:L62" si="49">SUM(Z$5:Z$7)</f>
        <v>0</v>
      </c>
      <c r="D62" s="62">
        <f t="shared" si="49"/>
        <v>0</v>
      </c>
      <c r="E62" s="62">
        <f t="shared" si="49"/>
        <v>0</v>
      </c>
      <c r="F62" s="62">
        <f t="shared" si="49"/>
        <v>0</v>
      </c>
      <c r="G62" s="62">
        <f t="shared" si="49"/>
        <v>0</v>
      </c>
      <c r="H62" s="62">
        <f t="shared" si="49"/>
        <v>0</v>
      </c>
      <c r="I62" s="62">
        <f t="shared" si="49"/>
        <v>0</v>
      </c>
      <c r="J62" s="62">
        <f t="shared" si="49"/>
        <v>0</v>
      </c>
      <c r="K62" s="62">
        <f t="shared" si="49"/>
        <v>0</v>
      </c>
      <c r="L62" s="62">
        <f t="shared" si="49"/>
        <v>0</v>
      </c>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row>
    <row r="63" spans="1:45">
      <c r="A63" s="57">
        <v>3</v>
      </c>
      <c r="B63" s="57" t="s">
        <v>61</v>
      </c>
      <c r="C63" s="62">
        <f t="shared" ref="C63:L63" si="50">SUM(AJ$5:AJ$7)</f>
        <v>0</v>
      </c>
      <c r="D63" s="62">
        <f t="shared" si="50"/>
        <v>0</v>
      </c>
      <c r="E63" s="62">
        <f t="shared" si="50"/>
        <v>0</v>
      </c>
      <c r="F63" s="62">
        <f t="shared" si="50"/>
        <v>0</v>
      </c>
      <c r="G63" s="62">
        <f t="shared" si="50"/>
        <v>0</v>
      </c>
      <c r="H63" s="62">
        <f t="shared" si="50"/>
        <v>0</v>
      </c>
      <c r="I63" s="62">
        <f t="shared" si="50"/>
        <v>0</v>
      </c>
      <c r="J63" s="62">
        <f t="shared" si="50"/>
        <v>0</v>
      </c>
      <c r="K63" s="62">
        <f t="shared" si="50"/>
        <v>0</v>
      </c>
      <c r="L63" s="62">
        <f t="shared" si="50"/>
        <v>0</v>
      </c>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row>
    <row r="64" spans="1:45">
      <c r="A64" s="57">
        <v>3</v>
      </c>
      <c r="B64" s="57" t="s">
        <v>155</v>
      </c>
      <c r="C64" s="62" t="e" cm="1">
        <f t="array" ref="C64">SUMPRODUCT(--(2026&gt;'2. Investicijos'!$F$5:$F$7),--(2026&lt;='2. Investicijos'!$F$5:$F$7+'2. Investicijos'!$G$5:$G$7),IFERROR(('2. Investicijos'!$M$5:$M$7+'2. Investicijos'!$N$5:$N$7)/'2. Investicijos'!$G$5:$G$7,0))+SUMPRODUCT(--(2026&gt;'2. Investicijos'!$F$5:$F$7),--(2026&lt;='2. Investicijos'!$F$5:$F$7+'2. Investicijos'!$G$5:$G$7),IFERROR(('2. Investicijos'!$M$5:$M$7+'2. Investicijos'!$N$5:$N$7)*(1-((2026-'2. Investicijos'!$F$5:$F$7)-1)/'2. Investicijos'!$G$5:$G$7),0)*'5. 0% scenarijus'!$C$5)</f>
        <v>#VALUE!</v>
      </c>
      <c r="D64" s="62" t="e" cm="1">
        <f t="array" ref="D64">SUMPRODUCT(--(2027&gt;'2. Investicijos'!$F$5:$F$7),--(2027&lt;='2. Investicijos'!$F$5:$F$7+'2. Investicijos'!$G$5:$G$7),IFERROR(('2. Investicijos'!$M$5:$M$7+'2. Investicijos'!$N$5:$N$7)/'2. Investicijos'!$G$5:$G$7,0))+SUMPRODUCT(--(2027&gt;'2. Investicijos'!$F$5:$F$7),--(2027&lt;='2. Investicijos'!$F$5:$F$7+'2. Investicijos'!$G$5:$G$7),IFERROR(('2. Investicijos'!$M$5:$M$7+'2. Investicijos'!$N$5:$N$7)*(1-((2027-'2. Investicijos'!$F$5:$F$7)-1)/'2. Investicijos'!$G$5:$G$7),0)*'5. 0% scenarijus'!$C$5)</f>
        <v>#VALUE!</v>
      </c>
      <c r="E64" s="62" t="e" cm="1">
        <f t="array" ref="E64">SUMPRODUCT(--(2028&gt;'2. Investicijos'!$F$5:$F$7),--(2028&lt;='2. Investicijos'!$F$5:$F$7+'2. Investicijos'!$G$5:$G$7),IFERROR(('2. Investicijos'!$M$5:$M$7+'2. Investicijos'!$N$5:$N$7)/'2. Investicijos'!$G$5:$G$7,0))+SUMPRODUCT(--(2028&gt;'2. Investicijos'!$F$5:$F$7),--(2028&lt;='2. Investicijos'!$F$5:$F$7+'2. Investicijos'!$G$5:$G$7),IFERROR(('2. Investicijos'!$M$5:$M$7+'2. Investicijos'!$N$5:$N$7)*(1-((2028-'2. Investicijos'!$F$5:$F$7)-1)/'2. Investicijos'!$G$5:$G$7),0)*'5. 0% scenarijus'!$C$5)</f>
        <v>#VALUE!</v>
      </c>
      <c r="F64" s="62" t="e" cm="1">
        <f t="array" ref="F64">SUMPRODUCT(--(2029&gt;'2. Investicijos'!$F$5:$F$7),--(2029&lt;='2. Investicijos'!$F$5:$F$7+'2. Investicijos'!$G$5:$G$7),IFERROR(('2. Investicijos'!$M$5:$M$7+'2. Investicijos'!$N$5:$N$7)/'2. Investicijos'!$G$5:$G$7,0))+SUMPRODUCT(--(2029&gt;'2. Investicijos'!$F$5:$F$7),--(2029&lt;='2. Investicijos'!$F$5:$F$7+'2. Investicijos'!$G$5:$G$7),IFERROR(('2. Investicijos'!$M$5:$M$7+'2. Investicijos'!$N$5:$N$7)*(1-((2029-'2. Investicijos'!$F$5:$F$7)-1)/'2. Investicijos'!$G$5:$G$7),0)*'5. 0% scenarijus'!$C$5)</f>
        <v>#VALUE!</v>
      </c>
      <c r="G64" s="62" t="e" cm="1">
        <f t="array" ref="G64">SUMPRODUCT(--(2030&gt;'2. Investicijos'!$F$5:$F$7),--(2030&lt;='2. Investicijos'!$F$5:$F$7+'2. Investicijos'!$G$5:$G$7),IFERROR(('2. Investicijos'!$M$5:$M$7+'2. Investicijos'!$N$5:$N$7)/'2. Investicijos'!$G$5:$G$7,0))+SUMPRODUCT(--(2030&gt;'2. Investicijos'!$F$5:$F$7),--(2030&lt;='2. Investicijos'!$F$5:$F$7+'2. Investicijos'!$G$5:$G$7),IFERROR(('2. Investicijos'!$M$5:$M$7+'2. Investicijos'!$N$5:$N$7)*(1-((2030-'2. Investicijos'!$F$5:$F$7)-1)/'2. Investicijos'!$G$5:$G$7),0)*'5. 0% scenarijus'!$C$5)</f>
        <v>#VALUE!</v>
      </c>
      <c r="H64" s="62" t="e" cm="1">
        <f t="array" ref="H64">SUMPRODUCT(--(2031&gt;'2. Investicijos'!$F$5:$F$7),--(2031&lt;='2. Investicijos'!$F$5:$F$7+'2. Investicijos'!$G$5:$G$7),IFERROR(('2. Investicijos'!$M$5:$M$7+'2. Investicijos'!$N$5:$N$7)/'2. Investicijos'!$G$5:$G$7,0))+SUMPRODUCT(--(2031&gt;'2. Investicijos'!$F$5:$F$7),--(2031&lt;='2. Investicijos'!$F$5:$F$7+'2. Investicijos'!$G$5:$G$7),IFERROR(('2. Investicijos'!$M$5:$M$7+'2. Investicijos'!$N$5:$N$7)*(1-((2031-'2. Investicijos'!$F$5:$F$7)-1)/'2. Investicijos'!$G$5:$G$7),0)*'5. 0% scenarijus'!$C$5)</f>
        <v>#VALUE!</v>
      </c>
      <c r="I64" s="62" t="e" cm="1">
        <f t="array" ref="I64">SUMPRODUCT(--(2032&gt;'2. Investicijos'!$F$5:$F$7),--(2032&lt;='2. Investicijos'!$F$5:$F$7+'2. Investicijos'!$G$5:$G$7),IFERROR(('2. Investicijos'!$M$5:$M$7+'2. Investicijos'!$N$5:$N$7)/'2. Investicijos'!$G$5:$G$7,0))+SUMPRODUCT(--(2032&gt;'2. Investicijos'!$F$5:$F$7),--(2032&lt;='2. Investicijos'!$F$5:$F$7+'2. Investicijos'!$G$5:$G$7),IFERROR(('2. Investicijos'!$M$5:$M$7+'2. Investicijos'!$N$5:$N$7)*(1-((2032-'2. Investicijos'!$F$5:$F$7)-1)/'2. Investicijos'!$G$5:$G$7),0)*'5. 0% scenarijus'!$C$5)</f>
        <v>#VALUE!</v>
      </c>
      <c r="J64" s="62" t="e" cm="1">
        <f t="array" ref="J64">SUMPRODUCT(--(2033&gt;'2. Investicijos'!$F$5:$F$7),--(2033&lt;='2. Investicijos'!$F$5:$F$7+'2. Investicijos'!$G$5:$G$7),IFERROR(('2. Investicijos'!$M$5:$M$7+'2. Investicijos'!$N$5:$N$7)/'2. Investicijos'!$G$5:$G$7,0))+SUMPRODUCT(--(2033&gt;'2. Investicijos'!$F$5:$F$7),--(2033&lt;='2. Investicijos'!$F$5:$F$7+'2. Investicijos'!$G$5:$G$7),IFERROR(('2. Investicijos'!$M$5:$M$7+'2. Investicijos'!$N$5:$N$7)*(1-((2033-'2. Investicijos'!$F$5:$F$7)-1)/'2. Investicijos'!$G$5:$G$7),0)*'5. 0% scenarijus'!$C$5)</f>
        <v>#VALUE!</v>
      </c>
      <c r="K64" s="62" t="e" cm="1">
        <f t="array" ref="K64">SUMPRODUCT(--(2034&gt;'2. Investicijos'!$F$5:$F$7),--(2034&lt;='2. Investicijos'!$F$5:$F$7+'2. Investicijos'!$G$5:$G$7),IFERROR(('2. Investicijos'!$M$5:$M$7+'2. Investicijos'!$N$5:$N$7)/'2. Investicijos'!$G$5:$G$7,0))+SUMPRODUCT(--(2034&gt;'2. Investicijos'!$F$5:$F$7),--(2034&lt;='2. Investicijos'!$F$5:$F$7+'2. Investicijos'!$G$5:$G$7),IFERROR(('2. Investicijos'!$M$5:$M$7+'2. Investicijos'!$N$5:$N$7)*(1-((2034-'2. Investicijos'!$F$5:$F$7)-1)/'2. Investicijos'!$G$5:$G$7),0)*'5. 0% scenarijus'!$C$5)</f>
        <v>#VALUE!</v>
      </c>
      <c r="L64" s="62" t="e" cm="1">
        <f t="array" ref="L64">SUMPRODUCT(--(2035&gt;'2. Investicijos'!$F$5:$F$7),--(2035&lt;='2. Investicijos'!$F$5:$F$7+'2. Investicijos'!$G$5:$G$7),IFERROR(('2. Investicijos'!$M$5:$M$7+'2. Investicijos'!$N$5:$N$7)/'2. Investicijos'!$G$5:$G$7,0))+SUMPRODUCT(--(2035&gt;'2. Investicijos'!$F$5:$F$7),--(2035&lt;='2. Investicijos'!$F$5:$F$7+'2. Investicijos'!$G$5:$G$7),IFERROR(('2. Investicijos'!$M$5:$M$7+'2. Investicijos'!$N$5:$N$7)*(1-((2035-'2. Investicijos'!$F$5:$F$7)-1)/'2. Investicijos'!$G$5:$G$7),0)*'5. 0% scenarijus'!$C$5)</f>
        <v>#VALUE!</v>
      </c>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row>
    <row r="65" spans="1:45">
      <c r="A65" s="57">
        <v>3</v>
      </c>
      <c r="B65" s="57" t="s">
        <v>62</v>
      </c>
      <c r="C65" s="62" t="e">
        <f>'3. Finansinės prielaidos'!C29+C64</f>
        <v>#VALUE!</v>
      </c>
      <c r="D65" s="62" t="e">
        <f>'3. Finansinės prielaidos'!D29+D64</f>
        <v>#VALUE!</v>
      </c>
      <c r="E65" s="62" t="e">
        <f>'3. Finansinės prielaidos'!E29+E64</f>
        <v>#VALUE!</v>
      </c>
      <c r="F65" s="62" t="e">
        <f>'3. Finansinės prielaidos'!F29+F64</f>
        <v>#VALUE!</v>
      </c>
      <c r="G65" s="62" t="e">
        <f>'3. Finansinės prielaidos'!G29+G64</f>
        <v>#VALUE!</v>
      </c>
      <c r="H65" s="62" t="e">
        <f>'3. Finansinės prielaidos'!H29+H64</f>
        <v>#VALUE!</v>
      </c>
      <c r="I65" s="62" t="e">
        <f>'3. Finansinės prielaidos'!I29+I64</f>
        <v>#VALUE!</v>
      </c>
      <c r="J65" s="62" t="e">
        <f>'3. Finansinės prielaidos'!J29+J64</f>
        <v>#VALUE!</v>
      </c>
      <c r="K65" s="62" t="e">
        <f>'3. Finansinės prielaidos'!K29+K64</f>
        <v>#VALUE!</v>
      </c>
      <c r="L65" s="62" t="e">
        <f>'3. Finansinės prielaidos'!L29+L64</f>
        <v>#VALUE!</v>
      </c>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row>
    <row r="66" spans="1:45">
      <c r="A66" s="57">
        <v>3</v>
      </c>
      <c r="B66" s="57" t="s">
        <v>159</v>
      </c>
      <c r="C66" s="62">
        <f>'3. Finansinės prielaidos'!C30+C63</f>
        <v>0</v>
      </c>
      <c r="D66" s="62">
        <f>'3. Finansinės prielaidos'!D30+D63</f>
        <v>0</v>
      </c>
      <c r="E66" s="62">
        <f>'3. Finansinės prielaidos'!E30+E63</f>
        <v>0</v>
      </c>
      <c r="F66" s="62">
        <f>'3. Finansinės prielaidos'!F30+F63</f>
        <v>0</v>
      </c>
      <c r="G66" s="62">
        <f>'3. Finansinės prielaidos'!G30+G63</f>
        <v>0</v>
      </c>
      <c r="H66" s="62">
        <f>'3. Finansinės prielaidos'!H30+H63</f>
        <v>0</v>
      </c>
      <c r="I66" s="62">
        <f>'3. Finansinės prielaidos'!I30+I63</f>
        <v>0</v>
      </c>
      <c r="J66" s="62">
        <f>'3. Finansinės prielaidos'!J30+J63</f>
        <v>0</v>
      </c>
      <c r="K66" s="62">
        <f>'3. Finansinės prielaidos'!K30+K63</f>
        <v>0</v>
      </c>
      <c r="L66" s="62">
        <f>'3. Finansinės prielaidos'!L30+L63</f>
        <v>0</v>
      </c>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row>
    <row r="67" spans="1:45">
      <c r="A67" s="57">
        <v>3</v>
      </c>
      <c r="B67" s="57" t="s">
        <v>160</v>
      </c>
      <c r="C67" s="62" t="e" cm="1">
        <f t="array" ref="C67">'3. Finansinės prielaidos'!C31+C64+C61+SUMPRODUCT('4. Metinis CAPEX'!F$9:F$11,IFERROR(('2. Investicijos'!$I$5:$I$7+'2. Investicijos'!$J$5:$J$7+'2. Investicijos'!$K$5:$K$7+'2. Investicijos'!$L$5:$L$7)/'2. Investicijos'!$H$5:$H$7,0))-C60-SUM(P$5:P$7)-C62-0</f>
        <v>#VALUE!</v>
      </c>
      <c r="D67" s="62" t="e" cm="1">
        <f t="array" ref="D67">C67+('3. Finansinės prielaidos'!D31-'3. Finansinės prielaidos'!C31)+D64+D61+SUMPRODUCT('4. Metinis CAPEX'!G$9:G$11,IFERROR(('2. Investicijos'!$I$5:$I$7+'2. Investicijos'!$J$5:$J$7+'2. Investicijos'!$K$5:$K$7+'2. Investicijos'!$L$5:$L$7)/'2. Investicijos'!$H$5:$H$7,0))-D60-SUM(Q$5:Q$7)-D62-MAX(0,-C67)*IFERROR(SUMPRODUCT('2. Investicijos'!$N$5:$N$7,'2. Investicijos'!$O$5:$O$7/100)/SUM('2. Investicijos'!$N$5:$N$7),0)</f>
        <v>#VALUE!</v>
      </c>
      <c r="E67" s="62" t="e" cm="1">
        <f t="array" ref="E67">D67+('3. Finansinės prielaidos'!E31-'3. Finansinės prielaidos'!D31)+E64+E61+SUMPRODUCT('4. Metinis CAPEX'!H$9:H$11,IFERROR(('2. Investicijos'!$I$5:$I$7+'2. Investicijos'!$J$5:$J$7+'2. Investicijos'!$K$5:$K$7+'2. Investicijos'!$L$5:$L$7)/'2. Investicijos'!$H$5:$H$7,0))-E60-SUM(R$5:R$7)-E62-MAX(0,-D67)*IFERROR(SUMPRODUCT('2. Investicijos'!$N$5:$N$7,'2. Investicijos'!$O$5:$O$7/100)/SUM('2. Investicijos'!$N$5:$N$7),0)</f>
        <v>#VALUE!</v>
      </c>
      <c r="F67" s="62" t="e" cm="1">
        <f t="array" ref="F67">E67+('3. Finansinės prielaidos'!F31-'3. Finansinės prielaidos'!E31)+F64+F61+SUMPRODUCT('4. Metinis CAPEX'!I$9:I$11,IFERROR(('2. Investicijos'!$I$5:$I$7+'2. Investicijos'!$J$5:$J$7+'2. Investicijos'!$K$5:$K$7+'2. Investicijos'!$L$5:$L$7)/'2. Investicijos'!$H$5:$H$7,0))-F60-SUM(S$5:S$7)-F62-MAX(0,-E67)*IFERROR(SUMPRODUCT('2. Investicijos'!$N$5:$N$7,'2. Investicijos'!$O$5:$O$7/100)/SUM('2. Investicijos'!$N$5:$N$7),0)</f>
        <v>#VALUE!</v>
      </c>
      <c r="G67" s="62" t="e" cm="1">
        <f t="array" ref="G67">F67+('3. Finansinės prielaidos'!G31-'3. Finansinės prielaidos'!F31)+G64+G61+SUMPRODUCT('4. Metinis CAPEX'!J$9:J$11,IFERROR(('2. Investicijos'!$I$5:$I$7+'2. Investicijos'!$J$5:$J$7+'2. Investicijos'!$K$5:$K$7+'2. Investicijos'!$L$5:$L$7)/'2. Investicijos'!$H$5:$H$7,0))-G60-SUM(T$5:T$7)-G62-MAX(0,-F67)*IFERROR(SUMPRODUCT('2. Investicijos'!$N$5:$N$7,'2. Investicijos'!$O$5:$O$7/100)/SUM('2. Investicijos'!$N$5:$N$7),0)</f>
        <v>#VALUE!</v>
      </c>
      <c r="H67" s="62" t="e" cm="1">
        <f t="array" ref="H67">G67+('3. Finansinės prielaidos'!H31-'3. Finansinės prielaidos'!G31)+H64+H61+SUMPRODUCT('4. Metinis CAPEX'!K$9:K$11,IFERROR(('2. Investicijos'!$I$5:$I$7+'2. Investicijos'!$J$5:$J$7+'2. Investicijos'!$K$5:$K$7+'2. Investicijos'!$L$5:$L$7)/'2. Investicijos'!$H$5:$H$7,0))-H60-SUM(U$5:U$7)-H62-MAX(0,-G67)*IFERROR(SUMPRODUCT('2. Investicijos'!$N$5:$N$7,'2. Investicijos'!$O$5:$O$7/100)/SUM('2. Investicijos'!$N$5:$N$7),0)</f>
        <v>#VALUE!</v>
      </c>
      <c r="I67" s="62" t="e" cm="1">
        <f t="array" ref="I67">H67+('3. Finansinės prielaidos'!I31-'3. Finansinės prielaidos'!H31)+I64+I61+SUMPRODUCT('4. Metinis CAPEX'!L$9:L$11,IFERROR(('2. Investicijos'!$I$5:$I$7+'2. Investicijos'!$J$5:$J$7+'2. Investicijos'!$K$5:$K$7+'2. Investicijos'!$L$5:$L$7)/'2. Investicijos'!$H$5:$H$7,0))-I60-SUM(V$5:V$7)-I62-MAX(0,-H67)*IFERROR(SUMPRODUCT('2. Investicijos'!$N$5:$N$7,'2. Investicijos'!$O$5:$O$7/100)/SUM('2. Investicijos'!$N$5:$N$7),0)</f>
        <v>#VALUE!</v>
      </c>
      <c r="J67" s="62" t="e" cm="1">
        <f t="array" ref="J67">I67+('3. Finansinės prielaidos'!J31-'3. Finansinės prielaidos'!I31)+J64+J61+SUMPRODUCT('4. Metinis CAPEX'!M$9:M$11,IFERROR(('2. Investicijos'!$I$5:$I$7+'2. Investicijos'!$J$5:$J$7+'2. Investicijos'!$K$5:$K$7+'2. Investicijos'!$L$5:$L$7)/'2. Investicijos'!$H$5:$H$7,0))-J60-SUM(W$5:W$7)-J62-MAX(0,-I67)*IFERROR(SUMPRODUCT('2. Investicijos'!$N$5:$N$7,'2. Investicijos'!$O$5:$O$7/100)/SUM('2. Investicijos'!$N$5:$N$7),0)</f>
        <v>#VALUE!</v>
      </c>
      <c r="K67" s="62" t="e" cm="1">
        <f t="array" ref="K67">J67+('3. Finansinės prielaidos'!K31-'3. Finansinės prielaidos'!J31)+K64+K61+SUMPRODUCT('4. Metinis CAPEX'!N$9:N$11,IFERROR(('2. Investicijos'!$I$5:$I$7+'2. Investicijos'!$J$5:$J$7+'2. Investicijos'!$K$5:$K$7+'2. Investicijos'!$L$5:$L$7)/'2. Investicijos'!$H$5:$H$7,0))-K60-SUM(X$5:X$7)-K62-MAX(0,-J67)*IFERROR(SUMPRODUCT('2. Investicijos'!$N$5:$N$7,'2. Investicijos'!$O$5:$O$7/100)/SUM('2. Investicijos'!$N$5:$N$7),0)</f>
        <v>#VALUE!</v>
      </c>
      <c r="L67" s="62" t="e" cm="1">
        <f t="array" ref="L67">K67+('3. Finansinės prielaidos'!L31-'3. Finansinės prielaidos'!K31)+L64+L61+SUMPRODUCT('4. Metinis CAPEX'!O$9:O$11,IFERROR(('2. Investicijos'!$I$5:$I$7+'2. Investicijos'!$J$5:$J$7+'2. Investicijos'!$K$5:$K$7+'2. Investicijos'!$L$5:$L$7)/'2. Investicijos'!$H$5:$H$7,0))-L60-SUM(Y$5:Y$7)-L62-MAX(0,-K67)*IFERROR(SUMPRODUCT('2. Investicijos'!$N$5:$N$7,'2. Investicijos'!$O$5:$O$7/100)/SUM('2. Investicijos'!$N$5:$N$7),0)</f>
        <v>#VALUE!</v>
      </c>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row>
    <row r="68" spans="1:45">
      <c r="A68" s="57">
        <v>3</v>
      </c>
      <c r="B68" s="57" t="s">
        <v>23</v>
      </c>
      <c r="C68" s="62" t="e">
        <f t="shared" ref="C68:L68" si="51">IF(OR(C65="",C66="",C67="",C65&lt;=0),"",(C66-C67)/C65)</f>
        <v>#VALUE!</v>
      </c>
      <c r="D68" s="62" t="e">
        <f t="shared" si="51"/>
        <v>#VALUE!</v>
      </c>
      <c r="E68" s="62" t="e">
        <f t="shared" si="51"/>
        <v>#VALUE!</v>
      </c>
      <c r="F68" s="62" t="e">
        <f t="shared" si="51"/>
        <v>#VALUE!</v>
      </c>
      <c r="G68" s="62" t="e">
        <f t="shared" si="51"/>
        <v>#VALUE!</v>
      </c>
      <c r="H68" s="62" t="e">
        <f t="shared" si="51"/>
        <v>#VALUE!</v>
      </c>
      <c r="I68" s="62" t="e">
        <f t="shared" si="51"/>
        <v>#VALUE!</v>
      </c>
      <c r="J68" s="62" t="e">
        <f t="shared" si="51"/>
        <v>#VALUE!</v>
      </c>
      <c r="K68" s="62" t="e">
        <f t="shared" si="51"/>
        <v>#VALUE!</v>
      </c>
      <c r="L68" s="62" t="e">
        <f t="shared" si="51"/>
        <v>#VALUE!</v>
      </c>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row>
    <row r="69" spans="1:45">
      <c r="A69" s="57">
        <v>3</v>
      </c>
      <c r="B69" s="57" t="s">
        <v>24</v>
      </c>
      <c r="C69" s="62" t="e">
        <f>IF(OR(C65="",C65&lt;=0,'3. Finansinės prielaidos'!C32=""),"",IF('3. Finansinės prielaidos'!C32+SUM(P$5:P$7)+C62+0=0,999999,C65/('3. Finansinės prielaidos'!C32+SUM(P$5:P$7)+C62+0)))</f>
        <v>#VALUE!</v>
      </c>
      <c r="D69" s="62" t="e" cm="1">
        <f t="array" ref="D69">IF(OR(D65="",D65&lt;=0,'3. Finansinės prielaidos'!D32=""),"",IF('3. Finansinės prielaidos'!D32+SUM(Q$5:Q$7)+D62+MAX(0,-C67)*IFERROR(SUMPRODUCT('2. Investicijos'!$N$5:$N$7,'2. Investicijos'!$O$5:$O$7/100)/SUM('2. Investicijos'!$N$5:$N$7),0)=0,999999,D65/('3. Finansinės prielaidos'!D32+SUM(Q$5:Q$7)+D62+MAX(0,-C67)*IFERROR(SUMPRODUCT('2. Investicijos'!$N$5:$N$7,'2. Investicijos'!$O$5:$O$7/100)/SUM('2. Investicijos'!$N$5:$N$7),0))))</f>
        <v>#VALUE!</v>
      </c>
      <c r="E69" s="62" t="e" cm="1">
        <f t="array" ref="E69">IF(OR(E65="",E65&lt;=0,'3. Finansinės prielaidos'!E32=""),"",IF('3. Finansinės prielaidos'!E32+SUM(R$5:R$7)+E62+MAX(0,-D67)*IFERROR(SUMPRODUCT('2. Investicijos'!$N$5:$N$7,'2. Investicijos'!$O$5:$O$7/100)/SUM('2. Investicijos'!$N$5:$N$7),0)=0,999999,E65/('3. Finansinės prielaidos'!E32+SUM(R$5:R$7)+E62+MAX(0,-D67)*IFERROR(SUMPRODUCT('2. Investicijos'!$N$5:$N$7,'2. Investicijos'!$O$5:$O$7/100)/SUM('2. Investicijos'!$N$5:$N$7),0))))</f>
        <v>#VALUE!</v>
      </c>
      <c r="F69" s="62" t="e" cm="1">
        <f t="array" ref="F69">IF(OR(F65="",F65&lt;=0,'3. Finansinės prielaidos'!F32=""),"",IF('3. Finansinės prielaidos'!F32+SUM(S$5:S$7)+F62+MAX(0,-E67)*IFERROR(SUMPRODUCT('2. Investicijos'!$N$5:$N$7,'2. Investicijos'!$O$5:$O$7/100)/SUM('2. Investicijos'!$N$5:$N$7),0)=0,999999,F65/('3. Finansinės prielaidos'!F32+SUM(S$5:S$7)+F62+MAX(0,-E67)*IFERROR(SUMPRODUCT('2. Investicijos'!$N$5:$N$7,'2. Investicijos'!$O$5:$O$7/100)/SUM('2. Investicijos'!$N$5:$N$7),0))))</f>
        <v>#VALUE!</v>
      </c>
      <c r="G69" s="62" t="e" cm="1">
        <f t="array" ref="G69">IF(OR(G65="",G65&lt;=0,'3. Finansinės prielaidos'!G32=""),"",IF('3. Finansinės prielaidos'!G32+SUM(T$5:T$7)+G62+MAX(0,-F67)*IFERROR(SUMPRODUCT('2. Investicijos'!$N$5:$N$7,'2. Investicijos'!$O$5:$O$7/100)/SUM('2. Investicijos'!$N$5:$N$7),0)=0,999999,G65/('3. Finansinės prielaidos'!G32+SUM(T$5:T$7)+G62+MAX(0,-F67)*IFERROR(SUMPRODUCT('2. Investicijos'!$N$5:$N$7,'2. Investicijos'!$O$5:$O$7/100)/SUM('2. Investicijos'!$N$5:$N$7),0))))</f>
        <v>#VALUE!</v>
      </c>
      <c r="H69" s="62" t="e" cm="1">
        <f t="array" ref="H69">IF(OR(H65="",H65&lt;=0,'3. Finansinės prielaidos'!H32=""),"",IF('3. Finansinės prielaidos'!H32+SUM(U$5:U$7)+H62+MAX(0,-G67)*IFERROR(SUMPRODUCT('2. Investicijos'!$N$5:$N$7,'2. Investicijos'!$O$5:$O$7/100)/SUM('2. Investicijos'!$N$5:$N$7),0)=0,999999,H65/('3. Finansinės prielaidos'!H32+SUM(U$5:U$7)+H62+MAX(0,-G67)*IFERROR(SUMPRODUCT('2. Investicijos'!$N$5:$N$7,'2. Investicijos'!$O$5:$O$7/100)/SUM('2. Investicijos'!$N$5:$N$7),0))))</f>
        <v>#VALUE!</v>
      </c>
      <c r="I69" s="62" t="e" cm="1">
        <f t="array" ref="I69">IF(OR(I65="",I65&lt;=0,'3. Finansinės prielaidos'!I32=""),"",IF('3. Finansinės prielaidos'!I32+SUM(V$5:V$7)+I62+MAX(0,-H67)*IFERROR(SUMPRODUCT('2. Investicijos'!$N$5:$N$7,'2. Investicijos'!$O$5:$O$7/100)/SUM('2. Investicijos'!$N$5:$N$7),0)=0,999999,I65/('3. Finansinės prielaidos'!I32+SUM(V$5:V$7)+I62+MAX(0,-H67)*IFERROR(SUMPRODUCT('2. Investicijos'!$N$5:$N$7,'2. Investicijos'!$O$5:$O$7/100)/SUM('2. Investicijos'!$N$5:$N$7),0))))</f>
        <v>#VALUE!</v>
      </c>
      <c r="J69" s="62" t="e" cm="1">
        <f t="array" ref="J69">IF(OR(J65="",J65&lt;=0,'3. Finansinės prielaidos'!J32=""),"",IF('3. Finansinės prielaidos'!J32+SUM(W$5:W$7)+J62+MAX(0,-I67)*IFERROR(SUMPRODUCT('2. Investicijos'!$N$5:$N$7,'2. Investicijos'!$O$5:$O$7/100)/SUM('2. Investicijos'!$N$5:$N$7),0)=0,999999,J65/('3. Finansinės prielaidos'!J32+SUM(W$5:W$7)+J62+MAX(0,-I67)*IFERROR(SUMPRODUCT('2. Investicijos'!$N$5:$N$7,'2. Investicijos'!$O$5:$O$7/100)/SUM('2. Investicijos'!$N$5:$N$7),0))))</f>
        <v>#VALUE!</v>
      </c>
      <c r="K69" s="62" t="e" cm="1">
        <f t="array" ref="K69">IF(OR(K65="",K65&lt;=0,'3. Finansinės prielaidos'!K32=""),"",IF('3. Finansinės prielaidos'!K32+SUM(X$5:X$7)+K62+MAX(0,-J67)*IFERROR(SUMPRODUCT('2. Investicijos'!$N$5:$N$7,'2. Investicijos'!$O$5:$O$7/100)/SUM('2. Investicijos'!$N$5:$N$7),0)=0,999999,K65/('3. Finansinės prielaidos'!K32+SUM(X$5:X$7)+K62+MAX(0,-J67)*IFERROR(SUMPRODUCT('2. Investicijos'!$N$5:$N$7,'2. Investicijos'!$O$5:$O$7/100)/SUM('2. Investicijos'!$N$5:$N$7),0))))</f>
        <v>#VALUE!</v>
      </c>
      <c r="L69" s="62" t="e" cm="1">
        <f t="array" ref="L69">IF(OR(L65="",L65&lt;=0,'3. Finansinės prielaidos'!L32=""),"",IF('3. Finansinės prielaidos'!L32+SUM(Y$5:Y$7)+L62+MAX(0,-K67)*IFERROR(SUMPRODUCT('2. Investicijos'!$N$5:$N$7,'2. Investicijos'!$O$5:$O$7/100)/SUM('2. Investicijos'!$N$5:$N$7),0)=0,999999,L65/('3. Finansinės prielaidos'!L32+SUM(Y$5:Y$7)+L62+MAX(0,-K67)*IFERROR(SUMPRODUCT('2. Investicijos'!$N$5:$N$7,'2. Investicijos'!$O$5:$O$7/100)/SUM('2. Investicijos'!$N$5:$N$7),0))))</f>
        <v>#VALUE!</v>
      </c>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row>
    <row r="70" spans="1:45">
      <c r="A70" s="57">
        <v>4</v>
      </c>
      <c r="B70" s="57" t="s">
        <v>58</v>
      </c>
      <c r="C70" s="62">
        <f>SUM('4. Metinis CAPEX'!F$9:F$12)</f>
        <v>0</v>
      </c>
      <c r="D70" s="62">
        <f>SUM('4. Metinis CAPEX'!G$9:G$12)</f>
        <v>0</v>
      </c>
      <c r="E70" s="62">
        <f>SUM('4. Metinis CAPEX'!H$9:H$12)</f>
        <v>0</v>
      </c>
      <c r="F70" s="62">
        <f>SUM('4. Metinis CAPEX'!I$9:I$12)</f>
        <v>0</v>
      </c>
      <c r="G70" s="62">
        <f>SUM('4. Metinis CAPEX'!J$9:J$12)</f>
        <v>0</v>
      </c>
      <c r="H70" s="62">
        <f>SUM('4. Metinis CAPEX'!K$9:K$12)</f>
        <v>0</v>
      </c>
      <c r="I70" s="62">
        <f>SUM('4. Metinis CAPEX'!L$9:L$12)</f>
        <v>0</v>
      </c>
      <c r="J70" s="62">
        <f>SUM('4. Metinis CAPEX'!M$9:M$12)</f>
        <v>0</v>
      </c>
      <c r="K70" s="62">
        <f>SUM('4. Metinis CAPEX'!N$9:N$12)</f>
        <v>0</v>
      </c>
      <c r="L70" s="62">
        <f>SUM('4. Metinis CAPEX'!O$9:O$12)</f>
        <v>0</v>
      </c>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row>
    <row r="71" spans="1:45">
      <c r="A71" s="57">
        <v>4</v>
      </c>
      <c r="B71" s="57" t="s">
        <v>59</v>
      </c>
      <c r="C71" s="62">
        <f t="shared" ref="C71:L71" si="52">SUM(F$5:F$8)</f>
        <v>0</v>
      </c>
      <c r="D71" s="62">
        <f t="shared" si="52"/>
        <v>0</v>
      </c>
      <c r="E71" s="62">
        <f t="shared" si="52"/>
        <v>0</v>
      </c>
      <c r="F71" s="62">
        <f t="shared" si="52"/>
        <v>0</v>
      </c>
      <c r="G71" s="62">
        <f t="shared" si="52"/>
        <v>0</v>
      </c>
      <c r="H71" s="62">
        <f t="shared" si="52"/>
        <v>0</v>
      </c>
      <c r="I71" s="62">
        <f t="shared" si="52"/>
        <v>0</v>
      </c>
      <c r="J71" s="62">
        <f t="shared" si="52"/>
        <v>0</v>
      </c>
      <c r="K71" s="62">
        <f t="shared" si="52"/>
        <v>0</v>
      </c>
      <c r="L71" s="62">
        <f t="shared" si="52"/>
        <v>0</v>
      </c>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row>
    <row r="72" spans="1:45">
      <c r="A72" s="57">
        <v>4</v>
      </c>
      <c r="B72" s="57" t="s">
        <v>60</v>
      </c>
      <c r="C72" s="62">
        <f t="shared" ref="C72:L72" si="53">SUM(Z$5:Z$8)</f>
        <v>0</v>
      </c>
      <c r="D72" s="62">
        <f t="shared" si="53"/>
        <v>0</v>
      </c>
      <c r="E72" s="62">
        <f t="shared" si="53"/>
        <v>0</v>
      </c>
      <c r="F72" s="62">
        <f t="shared" si="53"/>
        <v>0</v>
      </c>
      <c r="G72" s="62">
        <f t="shared" si="53"/>
        <v>0</v>
      </c>
      <c r="H72" s="62">
        <f t="shared" si="53"/>
        <v>0</v>
      </c>
      <c r="I72" s="62">
        <f t="shared" si="53"/>
        <v>0</v>
      </c>
      <c r="J72" s="62">
        <f t="shared" si="53"/>
        <v>0</v>
      </c>
      <c r="K72" s="62">
        <f t="shared" si="53"/>
        <v>0</v>
      </c>
      <c r="L72" s="62">
        <f t="shared" si="53"/>
        <v>0</v>
      </c>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row>
    <row r="73" spans="1:45">
      <c r="A73" s="57">
        <v>4</v>
      </c>
      <c r="B73" s="57" t="s">
        <v>61</v>
      </c>
      <c r="C73" s="62">
        <f t="shared" ref="C73:L73" si="54">SUM(AJ$5:AJ$8)</f>
        <v>0</v>
      </c>
      <c r="D73" s="62">
        <f t="shared" si="54"/>
        <v>0</v>
      </c>
      <c r="E73" s="62">
        <f t="shared" si="54"/>
        <v>0</v>
      </c>
      <c r="F73" s="62">
        <f t="shared" si="54"/>
        <v>0</v>
      </c>
      <c r="G73" s="62">
        <f t="shared" si="54"/>
        <v>0</v>
      </c>
      <c r="H73" s="62">
        <f t="shared" si="54"/>
        <v>0</v>
      </c>
      <c r="I73" s="62">
        <f t="shared" si="54"/>
        <v>0</v>
      </c>
      <c r="J73" s="62">
        <f t="shared" si="54"/>
        <v>0</v>
      </c>
      <c r="K73" s="62">
        <f t="shared" si="54"/>
        <v>0</v>
      </c>
      <c r="L73" s="62">
        <f t="shared" si="54"/>
        <v>0</v>
      </c>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row>
    <row r="74" spans="1:45">
      <c r="A74" s="57">
        <v>4</v>
      </c>
      <c r="B74" s="57" t="s">
        <v>155</v>
      </c>
      <c r="C74" s="62" t="e" cm="1">
        <f t="array" ref="C74">SUMPRODUCT(--(2026&gt;'2. Investicijos'!$F$5:$F$8),--(2026&lt;='2. Investicijos'!$F$5:$F$8+'2. Investicijos'!$G$5:$G$8),IFERROR(('2. Investicijos'!$M$5:$M$8+'2. Investicijos'!$N$5:$N$8)/'2. Investicijos'!$G$5:$G$8,0))+SUMPRODUCT(--(2026&gt;'2. Investicijos'!$F$5:$F$8),--(2026&lt;='2. Investicijos'!$F$5:$F$8+'2. Investicijos'!$G$5:$G$8),IFERROR(('2. Investicijos'!$M$5:$M$8+'2. Investicijos'!$N$5:$N$8)*(1-((2026-'2. Investicijos'!$F$5:$F$8)-1)/'2. Investicijos'!$G$5:$G$8),0)*'5. 0% scenarijus'!$C$5)</f>
        <v>#VALUE!</v>
      </c>
      <c r="D74" s="62" t="e" cm="1">
        <f t="array" ref="D74">SUMPRODUCT(--(2027&gt;'2. Investicijos'!$F$5:$F$8),--(2027&lt;='2. Investicijos'!$F$5:$F$8+'2. Investicijos'!$G$5:$G$8),IFERROR(('2. Investicijos'!$M$5:$M$8+'2. Investicijos'!$N$5:$N$8)/'2. Investicijos'!$G$5:$G$8,0))+SUMPRODUCT(--(2027&gt;'2. Investicijos'!$F$5:$F$8),--(2027&lt;='2. Investicijos'!$F$5:$F$8+'2. Investicijos'!$G$5:$G$8),IFERROR(('2. Investicijos'!$M$5:$M$8+'2. Investicijos'!$N$5:$N$8)*(1-((2027-'2. Investicijos'!$F$5:$F$8)-1)/'2. Investicijos'!$G$5:$G$8),0)*'5. 0% scenarijus'!$C$5)</f>
        <v>#VALUE!</v>
      </c>
      <c r="E74" s="62" t="e" cm="1">
        <f t="array" ref="E74">SUMPRODUCT(--(2028&gt;'2. Investicijos'!$F$5:$F$8),--(2028&lt;='2. Investicijos'!$F$5:$F$8+'2. Investicijos'!$G$5:$G$8),IFERROR(('2. Investicijos'!$M$5:$M$8+'2. Investicijos'!$N$5:$N$8)/'2. Investicijos'!$G$5:$G$8,0))+SUMPRODUCT(--(2028&gt;'2. Investicijos'!$F$5:$F$8),--(2028&lt;='2. Investicijos'!$F$5:$F$8+'2. Investicijos'!$G$5:$G$8),IFERROR(('2. Investicijos'!$M$5:$M$8+'2. Investicijos'!$N$5:$N$8)*(1-((2028-'2. Investicijos'!$F$5:$F$8)-1)/'2. Investicijos'!$G$5:$G$8),0)*'5. 0% scenarijus'!$C$5)</f>
        <v>#VALUE!</v>
      </c>
      <c r="F74" s="62" t="e" cm="1">
        <f t="array" ref="F74">SUMPRODUCT(--(2029&gt;'2. Investicijos'!$F$5:$F$8),--(2029&lt;='2. Investicijos'!$F$5:$F$8+'2. Investicijos'!$G$5:$G$8),IFERROR(('2. Investicijos'!$M$5:$M$8+'2. Investicijos'!$N$5:$N$8)/'2. Investicijos'!$G$5:$G$8,0))+SUMPRODUCT(--(2029&gt;'2. Investicijos'!$F$5:$F$8),--(2029&lt;='2. Investicijos'!$F$5:$F$8+'2. Investicijos'!$G$5:$G$8),IFERROR(('2. Investicijos'!$M$5:$M$8+'2. Investicijos'!$N$5:$N$8)*(1-((2029-'2. Investicijos'!$F$5:$F$8)-1)/'2. Investicijos'!$G$5:$G$8),0)*'5. 0% scenarijus'!$C$5)</f>
        <v>#VALUE!</v>
      </c>
      <c r="G74" s="62" t="e" cm="1">
        <f t="array" ref="G74">SUMPRODUCT(--(2030&gt;'2. Investicijos'!$F$5:$F$8),--(2030&lt;='2. Investicijos'!$F$5:$F$8+'2. Investicijos'!$G$5:$G$8),IFERROR(('2. Investicijos'!$M$5:$M$8+'2. Investicijos'!$N$5:$N$8)/'2. Investicijos'!$G$5:$G$8,0))+SUMPRODUCT(--(2030&gt;'2. Investicijos'!$F$5:$F$8),--(2030&lt;='2. Investicijos'!$F$5:$F$8+'2. Investicijos'!$G$5:$G$8),IFERROR(('2. Investicijos'!$M$5:$M$8+'2. Investicijos'!$N$5:$N$8)*(1-((2030-'2. Investicijos'!$F$5:$F$8)-1)/'2. Investicijos'!$G$5:$G$8),0)*'5. 0% scenarijus'!$C$5)</f>
        <v>#VALUE!</v>
      </c>
      <c r="H74" s="62" t="e" cm="1">
        <f t="array" ref="H74">SUMPRODUCT(--(2031&gt;'2. Investicijos'!$F$5:$F$8),--(2031&lt;='2. Investicijos'!$F$5:$F$8+'2. Investicijos'!$G$5:$G$8),IFERROR(('2. Investicijos'!$M$5:$M$8+'2. Investicijos'!$N$5:$N$8)/'2. Investicijos'!$G$5:$G$8,0))+SUMPRODUCT(--(2031&gt;'2. Investicijos'!$F$5:$F$8),--(2031&lt;='2. Investicijos'!$F$5:$F$8+'2. Investicijos'!$G$5:$G$8),IFERROR(('2. Investicijos'!$M$5:$M$8+'2. Investicijos'!$N$5:$N$8)*(1-((2031-'2. Investicijos'!$F$5:$F$8)-1)/'2. Investicijos'!$G$5:$G$8),0)*'5. 0% scenarijus'!$C$5)</f>
        <v>#VALUE!</v>
      </c>
      <c r="I74" s="62" t="e" cm="1">
        <f t="array" ref="I74">SUMPRODUCT(--(2032&gt;'2. Investicijos'!$F$5:$F$8),--(2032&lt;='2. Investicijos'!$F$5:$F$8+'2. Investicijos'!$G$5:$G$8),IFERROR(('2. Investicijos'!$M$5:$M$8+'2. Investicijos'!$N$5:$N$8)/'2. Investicijos'!$G$5:$G$8,0))+SUMPRODUCT(--(2032&gt;'2. Investicijos'!$F$5:$F$8),--(2032&lt;='2. Investicijos'!$F$5:$F$8+'2. Investicijos'!$G$5:$G$8),IFERROR(('2. Investicijos'!$M$5:$M$8+'2. Investicijos'!$N$5:$N$8)*(1-((2032-'2. Investicijos'!$F$5:$F$8)-1)/'2. Investicijos'!$G$5:$G$8),0)*'5. 0% scenarijus'!$C$5)</f>
        <v>#VALUE!</v>
      </c>
      <c r="J74" s="62" t="e" cm="1">
        <f t="array" ref="J74">SUMPRODUCT(--(2033&gt;'2. Investicijos'!$F$5:$F$8),--(2033&lt;='2. Investicijos'!$F$5:$F$8+'2. Investicijos'!$G$5:$G$8),IFERROR(('2. Investicijos'!$M$5:$M$8+'2. Investicijos'!$N$5:$N$8)/'2. Investicijos'!$G$5:$G$8,0))+SUMPRODUCT(--(2033&gt;'2. Investicijos'!$F$5:$F$8),--(2033&lt;='2. Investicijos'!$F$5:$F$8+'2. Investicijos'!$G$5:$G$8),IFERROR(('2. Investicijos'!$M$5:$M$8+'2. Investicijos'!$N$5:$N$8)*(1-((2033-'2. Investicijos'!$F$5:$F$8)-1)/'2. Investicijos'!$G$5:$G$8),0)*'5. 0% scenarijus'!$C$5)</f>
        <v>#VALUE!</v>
      </c>
      <c r="K74" s="62" t="e" cm="1">
        <f t="array" ref="K74">SUMPRODUCT(--(2034&gt;'2. Investicijos'!$F$5:$F$8),--(2034&lt;='2. Investicijos'!$F$5:$F$8+'2. Investicijos'!$G$5:$G$8),IFERROR(('2. Investicijos'!$M$5:$M$8+'2. Investicijos'!$N$5:$N$8)/'2. Investicijos'!$G$5:$G$8,0))+SUMPRODUCT(--(2034&gt;'2. Investicijos'!$F$5:$F$8),--(2034&lt;='2. Investicijos'!$F$5:$F$8+'2. Investicijos'!$G$5:$G$8),IFERROR(('2. Investicijos'!$M$5:$M$8+'2. Investicijos'!$N$5:$N$8)*(1-((2034-'2. Investicijos'!$F$5:$F$8)-1)/'2. Investicijos'!$G$5:$G$8),0)*'5. 0% scenarijus'!$C$5)</f>
        <v>#VALUE!</v>
      </c>
      <c r="L74" s="62" t="e" cm="1">
        <f t="array" ref="L74">SUMPRODUCT(--(2035&gt;'2. Investicijos'!$F$5:$F$8),--(2035&lt;='2. Investicijos'!$F$5:$F$8+'2. Investicijos'!$G$5:$G$8),IFERROR(('2. Investicijos'!$M$5:$M$8+'2. Investicijos'!$N$5:$N$8)/'2. Investicijos'!$G$5:$G$8,0))+SUMPRODUCT(--(2035&gt;'2. Investicijos'!$F$5:$F$8),--(2035&lt;='2. Investicijos'!$F$5:$F$8+'2. Investicijos'!$G$5:$G$8),IFERROR(('2. Investicijos'!$M$5:$M$8+'2. Investicijos'!$N$5:$N$8)*(1-((2035-'2. Investicijos'!$F$5:$F$8)-1)/'2. Investicijos'!$G$5:$G$8),0)*'5. 0% scenarijus'!$C$5)</f>
        <v>#VALUE!</v>
      </c>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row>
    <row r="75" spans="1:45">
      <c r="A75" s="57">
        <v>4</v>
      </c>
      <c r="B75" s="57" t="s">
        <v>62</v>
      </c>
      <c r="C75" s="62" t="e">
        <f>'3. Finansinės prielaidos'!C29+C74</f>
        <v>#VALUE!</v>
      </c>
      <c r="D75" s="62" t="e">
        <f>'3. Finansinės prielaidos'!D29+D74</f>
        <v>#VALUE!</v>
      </c>
      <c r="E75" s="62" t="e">
        <f>'3. Finansinės prielaidos'!E29+E74</f>
        <v>#VALUE!</v>
      </c>
      <c r="F75" s="62" t="e">
        <f>'3. Finansinės prielaidos'!F29+F74</f>
        <v>#VALUE!</v>
      </c>
      <c r="G75" s="62" t="e">
        <f>'3. Finansinės prielaidos'!G29+G74</f>
        <v>#VALUE!</v>
      </c>
      <c r="H75" s="62" t="e">
        <f>'3. Finansinės prielaidos'!H29+H74</f>
        <v>#VALUE!</v>
      </c>
      <c r="I75" s="62" t="e">
        <f>'3. Finansinės prielaidos'!I29+I74</f>
        <v>#VALUE!</v>
      </c>
      <c r="J75" s="62" t="e">
        <f>'3. Finansinės prielaidos'!J29+J74</f>
        <v>#VALUE!</v>
      </c>
      <c r="K75" s="62" t="e">
        <f>'3. Finansinės prielaidos'!K29+K74</f>
        <v>#VALUE!</v>
      </c>
      <c r="L75" s="62" t="e">
        <f>'3. Finansinės prielaidos'!L29+L74</f>
        <v>#VALUE!</v>
      </c>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row>
    <row r="76" spans="1:45">
      <c r="A76" s="57">
        <v>4</v>
      </c>
      <c r="B76" s="57" t="s">
        <v>159</v>
      </c>
      <c r="C76" s="62">
        <f>'3. Finansinės prielaidos'!C30+C73</f>
        <v>0</v>
      </c>
      <c r="D76" s="62">
        <f>'3. Finansinės prielaidos'!D30+D73</f>
        <v>0</v>
      </c>
      <c r="E76" s="62">
        <f>'3. Finansinės prielaidos'!E30+E73</f>
        <v>0</v>
      </c>
      <c r="F76" s="62">
        <f>'3. Finansinės prielaidos'!F30+F73</f>
        <v>0</v>
      </c>
      <c r="G76" s="62">
        <f>'3. Finansinės prielaidos'!G30+G73</f>
        <v>0</v>
      </c>
      <c r="H76" s="62">
        <f>'3. Finansinės prielaidos'!H30+H73</f>
        <v>0</v>
      </c>
      <c r="I76" s="62">
        <f>'3. Finansinės prielaidos'!I30+I73</f>
        <v>0</v>
      </c>
      <c r="J76" s="62">
        <f>'3. Finansinės prielaidos'!J30+J73</f>
        <v>0</v>
      </c>
      <c r="K76" s="62">
        <f>'3. Finansinės prielaidos'!K30+K73</f>
        <v>0</v>
      </c>
      <c r="L76" s="62">
        <f>'3. Finansinės prielaidos'!L30+L73</f>
        <v>0</v>
      </c>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row>
    <row r="77" spans="1:45">
      <c r="A77" s="57">
        <v>4</v>
      </c>
      <c r="B77" s="57" t="s">
        <v>160</v>
      </c>
      <c r="C77" s="62" t="e" cm="1">
        <f t="array" ref="C77">'3. Finansinės prielaidos'!C31+C74+C71+SUMPRODUCT('4. Metinis CAPEX'!F$9:F$12,IFERROR(('2. Investicijos'!$I$5:$I$8+'2. Investicijos'!$J$5:$J$8+'2. Investicijos'!$K$5:$K$8+'2. Investicijos'!$L$5:$L$8)/'2. Investicijos'!$H$5:$H$8,0))-C70-SUM(P$5:P$8)-C72-0</f>
        <v>#VALUE!</v>
      </c>
      <c r="D77" s="62" t="e" cm="1">
        <f t="array" ref="D77">C77+('3. Finansinės prielaidos'!D31-'3. Finansinės prielaidos'!C31)+D74+D71+SUMPRODUCT('4. Metinis CAPEX'!G$9:G$12,IFERROR(('2. Investicijos'!$I$5:$I$8+'2. Investicijos'!$J$5:$J$8+'2. Investicijos'!$K$5:$K$8+'2. Investicijos'!$L$5:$L$8)/'2. Investicijos'!$H$5:$H$8,0))-D70-SUM(Q$5:Q$8)-D72-MAX(0,-C77)*IFERROR(SUMPRODUCT('2. Investicijos'!$N$5:$N$8,'2. Investicijos'!$O$5:$O$8/100)/SUM('2. Investicijos'!$N$5:$N$8),0)</f>
        <v>#VALUE!</v>
      </c>
      <c r="E77" s="62" t="e" cm="1">
        <f t="array" ref="E77">D77+('3. Finansinės prielaidos'!E31-'3. Finansinės prielaidos'!D31)+E74+E71+SUMPRODUCT('4. Metinis CAPEX'!H$9:H$12,IFERROR(('2. Investicijos'!$I$5:$I$8+'2. Investicijos'!$J$5:$J$8+'2. Investicijos'!$K$5:$K$8+'2. Investicijos'!$L$5:$L$8)/'2. Investicijos'!$H$5:$H$8,0))-E70-SUM(R$5:R$8)-E72-MAX(0,-D77)*IFERROR(SUMPRODUCT('2. Investicijos'!$N$5:$N$8,'2. Investicijos'!$O$5:$O$8/100)/SUM('2. Investicijos'!$N$5:$N$8),0)</f>
        <v>#VALUE!</v>
      </c>
      <c r="F77" s="62" t="e" cm="1">
        <f t="array" ref="F77">E77+('3. Finansinės prielaidos'!F31-'3. Finansinės prielaidos'!E31)+F74+F71+SUMPRODUCT('4. Metinis CAPEX'!I$9:I$12,IFERROR(('2. Investicijos'!$I$5:$I$8+'2. Investicijos'!$J$5:$J$8+'2. Investicijos'!$K$5:$K$8+'2. Investicijos'!$L$5:$L$8)/'2. Investicijos'!$H$5:$H$8,0))-F70-SUM(S$5:S$8)-F72-MAX(0,-E77)*IFERROR(SUMPRODUCT('2. Investicijos'!$N$5:$N$8,'2. Investicijos'!$O$5:$O$8/100)/SUM('2. Investicijos'!$N$5:$N$8),0)</f>
        <v>#VALUE!</v>
      </c>
      <c r="G77" s="62" t="e" cm="1">
        <f t="array" ref="G77">F77+('3. Finansinės prielaidos'!G31-'3. Finansinės prielaidos'!F31)+G74+G71+SUMPRODUCT('4. Metinis CAPEX'!J$9:J$12,IFERROR(('2. Investicijos'!$I$5:$I$8+'2. Investicijos'!$J$5:$J$8+'2. Investicijos'!$K$5:$K$8+'2. Investicijos'!$L$5:$L$8)/'2. Investicijos'!$H$5:$H$8,0))-G70-SUM(T$5:T$8)-G72-MAX(0,-F77)*IFERROR(SUMPRODUCT('2. Investicijos'!$N$5:$N$8,'2. Investicijos'!$O$5:$O$8/100)/SUM('2. Investicijos'!$N$5:$N$8),0)</f>
        <v>#VALUE!</v>
      </c>
      <c r="H77" s="62" t="e" cm="1">
        <f t="array" ref="H77">G77+('3. Finansinės prielaidos'!H31-'3. Finansinės prielaidos'!G31)+H74+H71+SUMPRODUCT('4. Metinis CAPEX'!K$9:K$12,IFERROR(('2. Investicijos'!$I$5:$I$8+'2. Investicijos'!$J$5:$J$8+'2. Investicijos'!$K$5:$K$8+'2. Investicijos'!$L$5:$L$8)/'2. Investicijos'!$H$5:$H$8,0))-H70-SUM(U$5:U$8)-H72-MAX(0,-G77)*IFERROR(SUMPRODUCT('2. Investicijos'!$N$5:$N$8,'2. Investicijos'!$O$5:$O$8/100)/SUM('2. Investicijos'!$N$5:$N$8),0)</f>
        <v>#VALUE!</v>
      </c>
      <c r="I77" s="62" t="e" cm="1">
        <f t="array" ref="I77">H77+('3. Finansinės prielaidos'!I31-'3. Finansinės prielaidos'!H31)+I74+I71+SUMPRODUCT('4. Metinis CAPEX'!L$9:L$12,IFERROR(('2. Investicijos'!$I$5:$I$8+'2. Investicijos'!$J$5:$J$8+'2. Investicijos'!$K$5:$K$8+'2. Investicijos'!$L$5:$L$8)/'2. Investicijos'!$H$5:$H$8,0))-I70-SUM(V$5:V$8)-I72-MAX(0,-H77)*IFERROR(SUMPRODUCT('2. Investicijos'!$N$5:$N$8,'2. Investicijos'!$O$5:$O$8/100)/SUM('2. Investicijos'!$N$5:$N$8),0)</f>
        <v>#VALUE!</v>
      </c>
      <c r="J77" s="62" t="e" cm="1">
        <f t="array" ref="J77">I77+('3. Finansinės prielaidos'!J31-'3. Finansinės prielaidos'!I31)+J74+J71+SUMPRODUCT('4. Metinis CAPEX'!M$9:M$12,IFERROR(('2. Investicijos'!$I$5:$I$8+'2. Investicijos'!$J$5:$J$8+'2. Investicijos'!$K$5:$K$8+'2. Investicijos'!$L$5:$L$8)/'2. Investicijos'!$H$5:$H$8,0))-J70-SUM(W$5:W$8)-J72-MAX(0,-I77)*IFERROR(SUMPRODUCT('2. Investicijos'!$N$5:$N$8,'2. Investicijos'!$O$5:$O$8/100)/SUM('2. Investicijos'!$N$5:$N$8),0)</f>
        <v>#VALUE!</v>
      </c>
      <c r="K77" s="62" t="e" cm="1">
        <f t="array" ref="K77">J77+('3. Finansinės prielaidos'!K31-'3. Finansinės prielaidos'!J31)+K74+K71+SUMPRODUCT('4. Metinis CAPEX'!N$9:N$12,IFERROR(('2. Investicijos'!$I$5:$I$8+'2. Investicijos'!$J$5:$J$8+'2. Investicijos'!$K$5:$K$8+'2. Investicijos'!$L$5:$L$8)/'2. Investicijos'!$H$5:$H$8,0))-K70-SUM(X$5:X$8)-K72-MAX(0,-J77)*IFERROR(SUMPRODUCT('2. Investicijos'!$N$5:$N$8,'2. Investicijos'!$O$5:$O$8/100)/SUM('2. Investicijos'!$N$5:$N$8),0)</f>
        <v>#VALUE!</v>
      </c>
      <c r="L77" s="62" t="e" cm="1">
        <f t="array" ref="L77">K77+('3. Finansinės prielaidos'!L31-'3. Finansinės prielaidos'!K31)+L74+L71+SUMPRODUCT('4. Metinis CAPEX'!O$9:O$12,IFERROR(('2. Investicijos'!$I$5:$I$8+'2. Investicijos'!$J$5:$J$8+'2. Investicijos'!$K$5:$K$8+'2. Investicijos'!$L$5:$L$8)/'2. Investicijos'!$H$5:$H$8,0))-L70-SUM(Y$5:Y$8)-L72-MAX(0,-K77)*IFERROR(SUMPRODUCT('2. Investicijos'!$N$5:$N$8,'2. Investicijos'!$O$5:$O$8/100)/SUM('2. Investicijos'!$N$5:$N$8),0)</f>
        <v>#VALUE!</v>
      </c>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row>
    <row r="78" spans="1:45">
      <c r="A78" s="57">
        <v>4</v>
      </c>
      <c r="B78" s="57" t="s">
        <v>23</v>
      </c>
      <c r="C78" s="62" t="e">
        <f t="shared" ref="C78:L78" si="55">IF(OR(C75="",C76="",C77="",C75&lt;=0),"",(C76-C77)/C75)</f>
        <v>#VALUE!</v>
      </c>
      <c r="D78" s="62" t="e">
        <f t="shared" si="55"/>
        <v>#VALUE!</v>
      </c>
      <c r="E78" s="62" t="e">
        <f t="shared" si="55"/>
        <v>#VALUE!</v>
      </c>
      <c r="F78" s="62" t="e">
        <f t="shared" si="55"/>
        <v>#VALUE!</v>
      </c>
      <c r="G78" s="62" t="e">
        <f t="shared" si="55"/>
        <v>#VALUE!</v>
      </c>
      <c r="H78" s="62" t="e">
        <f t="shared" si="55"/>
        <v>#VALUE!</v>
      </c>
      <c r="I78" s="62" t="e">
        <f t="shared" si="55"/>
        <v>#VALUE!</v>
      </c>
      <c r="J78" s="62" t="e">
        <f t="shared" si="55"/>
        <v>#VALUE!</v>
      </c>
      <c r="K78" s="62" t="e">
        <f t="shared" si="55"/>
        <v>#VALUE!</v>
      </c>
      <c r="L78" s="62" t="e">
        <f t="shared" si="55"/>
        <v>#VALUE!</v>
      </c>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row>
    <row r="79" spans="1:45">
      <c r="A79" s="57">
        <v>4</v>
      </c>
      <c r="B79" s="57" t="s">
        <v>24</v>
      </c>
      <c r="C79" s="62" t="e">
        <f>IF(OR(C75="",C75&lt;=0,'3. Finansinės prielaidos'!C32=""),"",IF('3. Finansinės prielaidos'!C32+SUM(P$5:P$8)+C72+0=0,999999,C75/('3. Finansinės prielaidos'!C32+SUM(P$5:P$8)+C72+0)))</f>
        <v>#VALUE!</v>
      </c>
      <c r="D79" s="62" t="e" cm="1">
        <f t="array" ref="D79">IF(OR(D75="",D75&lt;=0,'3. Finansinės prielaidos'!D32=""),"",IF('3. Finansinės prielaidos'!D32+SUM(Q$5:Q$8)+D72+MAX(0,-C77)*IFERROR(SUMPRODUCT('2. Investicijos'!$N$5:$N$8,'2. Investicijos'!$O$5:$O$8/100)/SUM('2. Investicijos'!$N$5:$N$8),0)=0,999999,D75/('3. Finansinės prielaidos'!D32+SUM(Q$5:Q$8)+D72+MAX(0,-C77)*IFERROR(SUMPRODUCT('2. Investicijos'!$N$5:$N$8,'2. Investicijos'!$O$5:$O$8/100)/SUM('2. Investicijos'!$N$5:$N$8),0))))</f>
        <v>#VALUE!</v>
      </c>
      <c r="E79" s="62" t="e" cm="1">
        <f t="array" ref="E79">IF(OR(E75="",E75&lt;=0,'3. Finansinės prielaidos'!E32=""),"",IF('3. Finansinės prielaidos'!E32+SUM(R$5:R$8)+E72+MAX(0,-D77)*IFERROR(SUMPRODUCT('2. Investicijos'!$N$5:$N$8,'2. Investicijos'!$O$5:$O$8/100)/SUM('2. Investicijos'!$N$5:$N$8),0)=0,999999,E75/('3. Finansinės prielaidos'!E32+SUM(R$5:R$8)+E72+MAX(0,-D77)*IFERROR(SUMPRODUCT('2. Investicijos'!$N$5:$N$8,'2. Investicijos'!$O$5:$O$8/100)/SUM('2. Investicijos'!$N$5:$N$8),0))))</f>
        <v>#VALUE!</v>
      </c>
      <c r="F79" s="62" t="e" cm="1">
        <f t="array" ref="F79">IF(OR(F75="",F75&lt;=0,'3. Finansinės prielaidos'!F32=""),"",IF('3. Finansinės prielaidos'!F32+SUM(S$5:S$8)+F72+MAX(0,-E77)*IFERROR(SUMPRODUCT('2. Investicijos'!$N$5:$N$8,'2. Investicijos'!$O$5:$O$8/100)/SUM('2. Investicijos'!$N$5:$N$8),0)=0,999999,F75/('3. Finansinės prielaidos'!F32+SUM(S$5:S$8)+F72+MAX(0,-E77)*IFERROR(SUMPRODUCT('2. Investicijos'!$N$5:$N$8,'2. Investicijos'!$O$5:$O$8/100)/SUM('2. Investicijos'!$N$5:$N$8),0))))</f>
        <v>#VALUE!</v>
      </c>
      <c r="G79" s="62" t="e" cm="1">
        <f t="array" ref="G79">IF(OR(G75="",G75&lt;=0,'3. Finansinės prielaidos'!G32=""),"",IF('3. Finansinės prielaidos'!G32+SUM(T$5:T$8)+G72+MAX(0,-F77)*IFERROR(SUMPRODUCT('2. Investicijos'!$N$5:$N$8,'2. Investicijos'!$O$5:$O$8/100)/SUM('2. Investicijos'!$N$5:$N$8),0)=0,999999,G75/('3. Finansinės prielaidos'!G32+SUM(T$5:T$8)+G72+MAX(0,-F77)*IFERROR(SUMPRODUCT('2. Investicijos'!$N$5:$N$8,'2. Investicijos'!$O$5:$O$8/100)/SUM('2. Investicijos'!$N$5:$N$8),0))))</f>
        <v>#VALUE!</v>
      </c>
      <c r="H79" s="62" t="e" cm="1">
        <f t="array" ref="H79">IF(OR(H75="",H75&lt;=0,'3. Finansinės prielaidos'!H32=""),"",IF('3. Finansinės prielaidos'!H32+SUM(U$5:U$8)+H72+MAX(0,-G77)*IFERROR(SUMPRODUCT('2. Investicijos'!$N$5:$N$8,'2. Investicijos'!$O$5:$O$8/100)/SUM('2. Investicijos'!$N$5:$N$8),0)=0,999999,H75/('3. Finansinės prielaidos'!H32+SUM(U$5:U$8)+H72+MAX(0,-G77)*IFERROR(SUMPRODUCT('2. Investicijos'!$N$5:$N$8,'2. Investicijos'!$O$5:$O$8/100)/SUM('2. Investicijos'!$N$5:$N$8),0))))</f>
        <v>#VALUE!</v>
      </c>
      <c r="I79" s="62" t="e" cm="1">
        <f t="array" ref="I79">IF(OR(I75="",I75&lt;=0,'3. Finansinės prielaidos'!I32=""),"",IF('3. Finansinės prielaidos'!I32+SUM(V$5:V$8)+I72+MAX(0,-H77)*IFERROR(SUMPRODUCT('2. Investicijos'!$N$5:$N$8,'2. Investicijos'!$O$5:$O$8/100)/SUM('2. Investicijos'!$N$5:$N$8),0)=0,999999,I75/('3. Finansinės prielaidos'!I32+SUM(V$5:V$8)+I72+MAX(0,-H77)*IFERROR(SUMPRODUCT('2. Investicijos'!$N$5:$N$8,'2. Investicijos'!$O$5:$O$8/100)/SUM('2. Investicijos'!$N$5:$N$8),0))))</f>
        <v>#VALUE!</v>
      </c>
      <c r="J79" s="62" t="e" cm="1">
        <f t="array" ref="J79">IF(OR(J75="",J75&lt;=0,'3. Finansinės prielaidos'!J32=""),"",IF('3. Finansinės prielaidos'!J32+SUM(W$5:W$8)+J72+MAX(0,-I77)*IFERROR(SUMPRODUCT('2. Investicijos'!$N$5:$N$8,'2. Investicijos'!$O$5:$O$8/100)/SUM('2. Investicijos'!$N$5:$N$8),0)=0,999999,J75/('3. Finansinės prielaidos'!J32+SUM(W$5:W$8)+J72+MAX(0,-I77)*IFERROR(SUMPRODUCT('2. Investicijos'!$N$5:$N$8,'2. Investicijos'!$O$5:$O$8/100)/SUM('2. Investicijos'!$N$5:$N$8),0))))</f>
        <v>#VALUE!</v>
      </c>
      <c r="K79" s="62" t="e" cm="1">
        <f t="array" ref="K79">IF(OR(K75="",K75&lt;=0,'3. Finansinės prielaidos'!K32=""),"",IF('3. Finansinės prielaidos'!K32+SUM(X$5:X$8)+K72+MAX(0,-J77)*IFERROR(SUMPRODUCT('2. Investicijos'!$N$5:$N$8,'2. Investicijos'!$O$5:$O$8/100)/SUM('2. Investicijos'!$N$5:$N$8),0)=0,999999,K75/('3. Finansinės prielaidos'!K32+SUM(X$5:X$8)+K72+MAX(0,-J77)*IFERROR(SUMPRODUCT('2. Investicijos'!$N$5:$N$8,'2. Investicijos'!$O$5:$O$8/100)/SUM('2. Investicijos'!$N$5:$N$8),0))))</f>
        <v>#VALUE!</v>
      </c>
      <c r="L79" s="62" t="e" cm="1">
        <f t="array" ref="L79">IF(OR(L75="",L75&lt;=0,'3. Finansinės prielaidos'!L32=""),"",IF('3. Finansinės prielaidos'!L32+SUM(Y$5:Y$8)+L72+MAX(0,-K77)*IFERROR(SUMPRODUCT('2. Investicijos'!$N$5:$N$8,'2. Investicijos'!$O$5:$O$8/100)/SUM('2. Investicijos'!$N$5:$N$8),0)=0,999999,L75/('3. Finansinės prielaidos'!L32+SUM(Y$5:Y$8)+L72+MAX(0,-K77)*IFERROR(SUMPRODUCT('2. Investicijos'!$N$5:$N$8,'2. Investicijos'!$O$5:$O$8/100)/SUM('2. Investicijos'!$N$5:$N$8),0))))</f>
        <v>#VALUE!</v>
      </c>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row>
    <row r="80" spans="1:45">
      <c r="A80" s="57">
        <v>5</v>
      </c>
      <c r="B80" s="57" t="s">
        <v>58</v>
      </c>
      <c r="C80" s="62">
        <f>SUM('4. Metinis CAPEX'!F$9:F$13)</f>
        <v>0</v>
      </c>
      <c r="D80" s="62">
        <f>SUM('4. Metinis CAPEX'!G$9:G$13)</f>
        <v>0</v>
      </c>
      <c r="E80" s="62">
        <f>SUM('4. Metinis CAPEX'!H$9:H$13)</f>
        <v>0</v>
      </c>
      <c r="F80" s="62">
        <f>SUM('4. Metinis CAPEX'!I$9:I$13)</f>
        <v>0</v>
      </c>
      <c r="G80" s="62">
        <f>SUM('4. Metinis CAPEX'!J$9:J$13)</f>
        <v>0</v>
      </c>
      <c r="H80" s="62">
        <f>SUM('4. Metinis CAPEX'!K$9:K$13)</f>
        <v>0</v>
      </c>
      <c r="I80" s="62">
        <f>SUM('4. Metinis CAPEX'!L$9:L$13)</f>
        <v>0</v>
      </c>
      <c r="J80" s="62">
        <f>SUM('4. Metinis CAPEX'!M$9:M$13)</f>
        <v>0</v>
      </c>
      <c r="K80" s="62">
        <f>SUM('4. Metinis CAPEX'!N$9:N$13)</f>
        <v>0</v>
      </c>
      <c r="L80" s="62">
        <f>SUM('4. Metinis CAPEX'!O$9:O$13)</f>
        <v>0</v>
      </c>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row>
    <row r="81" spans="1:45">
      <c r="A81" s="57">
        <v>5</v>
      </c>
      <c r="B81" s="57" t="s">
        <v>59</v>
      </c>
      <c r="C81" s="62">
        <f t="shared" ref="C81:L81" si="56">SUM(F$5:F$9)</f>
        <v>0</v>
      </c>
      <c r="D81" s="62">
        <f t="shared" si="56"/>
        <v>0</v>
      </c>
      <c r="E81" s="62">
        <f t="shared" si="56"/>
        <v>0</v>
      </c>
      <c r="F81" s="62">
        <f t="shared" si="56"/>
        <v>0</v>
      </c>
      <c r="G81" s="62">
        <f t="shared" si="56"/>
        <v>0</v>
      </c>
      <c r="H81" s="62">
        <f t="shared" si="56"/>
        <v>0</v>
      </c>
      <c r="I81" s="62">
        <f t="shared" si="56"/>
        <v>0</v>
      </c>
      <c r="J81" s="62">
        <f t="shared" si="56"/>
        <v>0</v>
      </c>
      <c r="K81" s="62">
        <f t="shared" si="56"/>
        <v>0</v>
      </c>
      <c r="L81" s="62">
        <f t="shared" si="56"/>
        <v>0</v>
      </c>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row>
    <row r="82" spans="1:45">
      <c r="A82" s="57">
        <v>5</v>
      </c>
      <c r="B82" s="57" t="s">
        <v>60</v>
      </c>
      <c r="C82" s="62">
        <f t="shared" ref="C82:L82" si="57">SUM(Z$5:Z$9)</f>
        <v>0</v>
      </c>
      <c r="D82" s="62">
        <f t="shared" si="57"/>
        <v>0</v>
      </c>
      <c r="E82" s="62">
        <f t="shared" si="57"/>
        <v>0</v>
      </c>
      <c r="F82" s="62">
        <f t="shared" si="57"/>
        <v>0</v>
      </c>
      <c r="G82" s="62">
        <f t="shared" si="57"/>
        <v>0</v>
      </c>
      <c r="H82" s="62">
        <f t="shared" si="57"/>
        <v>0</v>
      </c>
      <c r="I82" s="62">
        <f t="shared" si="57"/>
        <v>0</v>
      </c>
      <c r="J82" s="62">
        <f t="shared" si="57"/>
        <v>0</v>
      </c>
      <c r="K82" s="62">
        <f t="shared" si="57"/>
        <v>0</v>
      </c>
      <c r="L82" s="62">
        <f t="shared" si="57"/>
        <v>0</v>
      </c>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row>
    <row r="83" spans="1:45">
      <c r="A83" s="57">
        <v>5</v>
      </c>
      <c r="B83" s="57" t="s">
        <v>61</v>
      </c>
      <c r="C83" s="62">
        <f t="shared" ref="C83:L83" si="58">SUM(AJ$5:AJ$9)</f>
        <v>0</v>
      </c>
      <c r="D83" s="62">
        <f t="shared" si="58"/>
        <v>0</v>
      </c>
      <c r="E83" s="62">
        <f t="shared" si="58"/>
        <v>0</v>
      </c>
      <c r="F83" s="62">
        <f t="shared" si="58"/>
        <v>0</v>
      </c>
      <c r="G83" s="62">
        <f t="shared" si="58"/>
        <v>0</v>
      </c>
      <c r="H83" s="62">
        <f t="shared" si="58"/>
        <v>0</v>
      </c>
      <c r="I83" s="62">
        <f t="shared" si="58"/>
        <v>0</v>
      </c>
      <c r="J83" s="62">
        <f t="shared" si="58"/>
        <v>0</v>
      </c>
      <c r="K83" s="62">
        <f t="shared" si="58"/>
        <v>0</v>
      </c>
      <c r="L83" s="62">
        <f t="shared" si="58"/>
        <v>0</v>
      </c>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row>
    <row r="84" spans="1:45">
      <c r="A84" s="57">
        <v>5</v>
      </c>
      <c r="B84" s="57" t="s">
        <v>155</v>
      </c>
      <c r="C84" s="62" t="e" cm="1">
        <f t="array" ref="C84">SUMPRODUCT(--(2026&gt;'2. Investicijos'!$F$5:$F$9),--(2026&lt;='2. Investicijos'!$F$5:$F$9+'2. Investicijos'!$G$5:$G$9),IFERROR(('2. Investicijos'!$M$5:$M$9+'2. Investicijos'!$N$5:$N$9)/'2. Investicijos'!$G$5:$G$9,0))+SUMPRODUCT(--(2026&gt;'2. Investicijos'!$F$5:$F$9),--(2026&lt;='2. Investicijos'!$F$5:$F$9+'2. Investicijos'!$G$5:$G$9),IFERROR(('2. Investicijos'!$M$5:$M$9+'2. Investicijos'!$N$5:$N$9)*(1-((2026-'2. Investicijos'!$F$5:$F$9)-1)/'2. Investicijos'!$G$5:$G$9),0)*'5. 0% scenarijus'!$C$5)</f>
        <v>#VALUE!</v>
      </c>
      <c r="D84" s="62" t="e" cm="1">
        <f t="array" ref="D84">SUMPRODUCT(--(2027&gt;'2. Investicijos'!$F$5:$F$9),--(2027&lt;='2. Investicijos'!$F$5:$F$9+'2. Investicijos'!$G$5:$G$9),IFERROR(('2. Investicijos'!$M$5:$M$9+'2. Investicijos'!$N$5:$N$9)/'2. Investicijos'!$G$5:$G$9,0))+SUMPRODUCT(--(2027&gt;'2. Investicijos'!$F$5:$F$9),--(2027&lt;='2. Investicijos'!$F$5:$F$9+'2. Investicijos'!$G$5:$G$9),IFERROR(('2. Investicijos'!$M$5:$M$9+'2. Investicijos'!$N$5:$N$9)*(1-((2027-'2. Investicijos'!$F$5:$F$9)-1)/'2. Investicijos'!$G$5:$G$9),0)*'5. 0% scenarijus'!$C$5)</f>
        <v>#VALUE!</v>
      </c>
      <c r="E84" s="62" t="e" cm="1">
        <f t="array" ref="E84">SUMPRODUCT(--(2028&gt;'2. Investicijos'!$F$5:$F$9),--(2028&lt;='2. Investicijos'!$F$5:$F$9+'2. Investicijos'!$G$5:$G$9),IFERROR(('2. Investicijos'!$M$5:$M$9+'2. Investicijos'!$N$5:$N$9)/'2. Investicijos'!$G$5:$G$9,0))+SUMPRODUCT(--(2028&gt;'2. Investicijos'!$F$5:$F$9),--(2028&lt;='2. Investicijos'!$F$5:$F$9+'2. Investicijos'!$G$5:$G$9),IFERROR(('2. Investicijos'!$M$5:$M$9+'2. Investicijos'!$N$5:$N$9)*(1-((2028-'2. Investicijos'!$F$5:$F$9)-1)/'2. Investicijos'!$G$5:$G$9),0)*'5. 0% scenarijus'!$C$5)</f>
        <v>#VALUE!</v>
      </c>
      <c r="F84" s="62" t="e" cm="1">
        <f t="array" ref="F84">SUMPRODUCT(--(2029&gt;'2. Investicijos'!$F$5:$F$9),--(2029&lt;='2. Investicijos'!$F$5:$F$9+'2. Investicijos'!$G$5:$G$9),IFERROR(('2. Investicijos'!$M$5:$M$9+'2. Investicijos'!$N$5:$N$9)/'2. Investicijos'!$G$5:$G$9,0))+SUMPRODUCT(--(2029&gt;'2. Investicijos'!$F$5:$F$9),--(2029&lt;='2. Investicijos'!$F$5:$F$9+'2. Investicijos'!$G$5:$G$9),IFERROR(('2. Investicijos'!$M$5:$M$9+'2. Investicijos'!$N$5:$N$9)*(1-((2029-'2. Investicijos'!$F$5:$F$9)-1)/'2. Investicijos'!$G$5:$G$9),0)*'5. 0% scenarijus'!$C$5)</f>
        <v>#VALUE!</v>
      </c>
      <c r="G84" s="62" t="e" cm="1">
        <f t="array" ref="G84">SUMPRODUCT(--(2030&gt;'2. Investicijos'!$F$5:$F$9),--(2030&lt;='2. Investicijos'!$F$5:$F$9+'2. Investicijos'!$G$5:$G$9),IFERROR(('2. Investicijos'!$M$5:$M$9+'2. Investicijos'!$N$5:$N$9)/'2. Investicijos'!$G$5:$G$9,0))+SUMPRODUCT(--(2030&gt;'2. Investicijos'!$F$5:$F$9),--(2030&lt;='2. Investicijos'!$F$5:$F$9+'2. Investicijos'!$G$5:$G$9),IFERROR(('2. Investicijos'!$M$5:$M$9+'2. Investicijos'!$N$5:$N$9)*(1-((2030-'2. Investicijos'!$F$5:$F$9)-1)/'2. Investicijos'!$G$5:$G$9),0)*'5. 0% scenarijus'!$C$5)</f>
        <v>#VALUE!</v>
      </c>
      <c r="H84" s="62" t="e" cm="1">
        <f t="array" ref="H84">SUMPRODUCT(--(2031&gt;'2. Investicijos'!$F$5:$F$9),--(2031&lt;='2. Investicijos'!$F$5:$F$9+'2. Investicijos'!$G$5:$G$9),IFERROR(('2. Investicijos'!$M$5:$M$9+'2. Investicijos'!$N$5:$N$9)/'2. Investicijos'!$G$5:$G$9,0))+SUMPRODUCT(--(2031&gt;'2. Investicijos'!$F$5:$F$9),--(2031&lt;='2. Investicijos'!$F$5:$F$9+'2. Investicijos'!$G$5:$G$9),IFERROR(('2. Investicijos'!$M$5:$M$9+'2. Investicijos'!$N$5:$N$9)*(1-((2031-'2. Investicijos'!$F$5:$F$9)-1)/'2. Investicijos'!$G$5:$G$9),0)*'5. 0% scenarijus'!$C$5)</f>
        <v>#VALUE!</v>
      </c>
      <c r="I84" s="62" t="e" cm="1">
        <f t="array" ref="I84">SUMPRODUCT(--(2032&gt;'2. Investicijos'!$F$5:$F$9),--(2032&lt;='2. Investicijos'!$F$5:$F$9+'2. Investicijos'!$G$5:$G$9),IFERROR(('2. Investicijos'!$M$5:$M$9+'2. Investicijos'!$N$5:$N$9)/'2. Investicijos'!$G$5:$G$9,0))+SUMPRODUCT(--(2032&gt;'2. Investicijos'!$F$5:$F$9),--(2032&lt;='2. Investicijos'!$F$5:$F$9+'2. Investicijos'!$G$5:$G$9),IFERROR(('2. Investicijos'!$M$5:$M$9+'2. Investicijos'!$N$5:$N$9)*(1-((2032-'2. Investicijos'!$F$5:$F$9)-1)/'2. Investicijos'!$G$5:$G$9),0)*'5. 0% scenarijus'!$C$5)</f>
        <v>#VALUE!</v>
      </c>
      <c r="J84" s="62" t="e" cm="1">
        <f t="array" ref="J84">SUMPRODUCT(--(2033&gt;'2. Investicijos'!$F$5:$F$9),--(2033&lt;='2. Investicijos'!$F$5:$F$9+'2. Investicijos'!$G$5:$G$9),IFERROR(('2. Investicijos'!$M$5:$M$9+'2. Investicijos'!$N$5:$N$9)/'2. Investicijos'!$G$5:$G$9,0))+SUMPRODUCT(--(2033&gt;'2. Investicijos'!$F$5:$F$9),--(2033&lt;='2. Investicijos'!$F$5:$F$9+'2. Investicijos'!$G$5:$G$9),IFERROR(('2. Investicijos'!$M$5:$M$9+'2. Investicijos'!$N$5:$N$9)*(1-((2033-'2. Investicijos'!$F$5:$F$9)-1)/'2. Investicijos'!$G$5:$G$9),0)*'5. 0% scenarijus'!$C$5)</f>
        <v>#VALUE!</v>
      </c>
      <c r="K84" s="62" t="e" cm="1">
        <f t="array" ref="K84">SUMPRODUCT(--(2034&gt;'2. Investicijos'!$F$5:$F$9),--(2034&lt;='2. Investicijos'!$F$5:$F$9+'2. Investicijos'!$G$5:$G$9),IFERROR(('2. Investicijos'!$M$5:$M$9+'2. Investicijos'!$N$5:$N$9)/'2. Investicijos'!$G$5:$G$9,0))+SUMPRODUCT(--(2034&gt;'2. Investicijos'!$F$5:$F$9),--(2034&lt;='2. Investicijos'!$F$5:$F$9+'2. Investicijos'!$G$5:$G$9),IFERROR(('2. Investicijos'!$M$5:$M$9+'2. Investicijos'!$N$5:$N$9)*(1-((2034-'2. Investicijos'!$F$5:$F$9)-1)/'2. Investicijos'!$G$5:$G$9),0)*'5. 0% scenarijus'!$C$5)</f>
        <v>#VALUE!</v>
      </c>
      <c r="L84" s="62" t="e" cm="1">
        <f t="array" ref="L84">SUMPRODUCT(--(2035&gt;'2. Investicijos'!$F$5:$F$9),--(2035&lt;='2. Investicijos'!$F$5:$F$9+'2. Investicijos'!$G$5:$G$9),IFERROR(('2. Investicijos'!$M$5:$M$9+'2. Investicijos'!$N$5:$N$9)/'2. Investicijos'!$G$5:$G$9,0))+SUMPRODUCT(--(2035&gt;'2. Investicijos'!$F$5:$F$9),--(2035&lt;='2. Investicijos'!$F$5:$F$9+'2. Investicijos'!$G$5:$G$9),IFERROR(('2. Investicijos'!$M$5:$M$9+'2. Investicijos'!$N$5:$N$9)*(1-((2035-'2. Investicijos'!$F$5:$F$9)-1)/'2. Investicijos'!$G$5:$G$9),0)*'5. 0% scenarijus'!$C$5)</f>
        <v>#VALUE!</v>
      </c>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row>
    <row r="85" spans="1:45">
      <c r="A85" s="57">
        <v>5</v>
      </c>
      <c r="B85" s="57" t="s">
        <v>62</v>
      </c>
      <c r="C85" s="62" t="e">
        <f>'3. Finansinės prielaidos'!C29+C84</f>
        <v>#VALUE!</v>
      </c>
      <c r="D85" s="62" t="e">
        <f>'3. Finansinės prielaidos'!D29+D84</f>
        <v>#VALUE!</v>
      </c>
      <c r="E85" s="62" t="e">
        <f>'3. Finansinės prielaidos'!E29+E84</f>
        <v>#VALUE!</v>
      </c>
      <c r="F85" s="62" t="e">
        <f>'3. Finansinės prielaidos'!F29+F84</f>
        <v>#VALUE!</v>
      </c>
      <c r="G85" s="62" t="e">
        <f>'3. Finansinės prielaidos'!G29+G84</f>
        <v>#VALUE!</v>
      </c>
      <c r="H85" s="62" t="e">
        <f>'3. Finansinės prielaidos'!H29+H84</f>
        <v>#VALUE!</v>
      </c>
      <c r="I85" s="62" t="e">
        <f>'3. Finansinės prielaidos'!I29+I84</f>
        <v>#VALUE!</v>
      </c>
      <c r="J85" s="62" t="e">
        <f>'3. Finansinės prielaidos'!J29+J84</f>
        <v>#VALUE!</v>
      </c>
      <c r="K85" s="62" t="e">
        <f>'3. Finansinės prielaidos'!K29+K84</f>
        <v>#VALUE!</v>
      </c>
      <c r="L85" s="62" t="e">
        <f>'3. Finansinės prielaidos'!L29+L84</f>
        <v>#VALUE!</v>
      </c>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row>
    <row r="86" spans="1:45">
      <c r="A86" s="57">
        <v>5</v>
      </c>
      <c r="B86" s="57" t="s">
        <v>159</v>
      </c>
      <c r="C86" s="62">
        <f>'3. Finansinės prielaidos'!C30+C83</f>
        <v>0</v>
      </c>
      <c r="D86" s="62">
        <f>'3. Finansinės prielaidos'!D30+D83</f>
        <v>0</v>
      </c>
      <c r="E86" s="62">
        <f>'3. Finansinės prielaidos'!E30+E83</f>
        <v>0</v>
      </c>
      <c r="F86" s="62">
        <f>'3. Finansinės prielaidos'!F30+F83</f>
        <v>0</v>
      </c>
      <c r="G86" s="62">
        <f>'3. Finansinės prielaidos'!G30+G83</f>
        <v>0</v>
      </c>
      <c r="H86" s="62">
        <f>'3. Finansinės prielaidos'!H30+H83</f>
        <v>0</v>
      </c>
      <c r="I86" s="62">
        <f>'3. Finansinės prielaidos'!I30+I83</f>
        <v>0</v>
      </c>
      <c r="J86" s="62">
        <f>'3. Finansinės prielaidos'!J30+J83</f>
        <v>0</v>
      </c>
      <c r="K86" s="62">
        <f>'3. Finansinės prielaidos'!K30+K83</f>
        <v>0</v>
      </c>
      <c r="L86" s="62">
        <f>'3. Finansinės prielaidos'!L30+L83</f>
        <v>0</v>
      </c>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row>
    <row r="87" spans="1:45">
      <c r="A87" s="57">
        <v>5</v>
      </c>
      <c r="B87" s="57" t="s">
        <v>160</v>
      </c>
      <c r="C87" s="62" t="e" cm="1">
        <f t="array" ref="C87">'3. Finansinės prielaidos'!C31+C84+C81+SUMPRODUCT('4. Metinis CAPEX'!F$9:F$13,IFERROR(('2. Investicijos'!$I$5:$I$9+'2. Investicijos'!$J$5:$J$9+'2. Investicijos'!$K$5:$K$9+'2. Investicijos'!$L$5:$L$9)/'2. Investicijos'!$H$5:$H$9,0))-C80-SUM(P$5:P$9)-C82-0</f>
        <v>#VALUE!</v>
      </c>
      <c r="D87" s="62" t="e" cm="1">
        <f t="array" ref="D87">C87+('3. Finansinės prielaidos'!D31-'3. Finansinės prielaidos'!C31)+D84+D81+SUMPRODUCT('4. Metinis CAPEX'!G$9:G$13,IFERROR(('2. Investicijos'!$I$5:$I$9+'2. Investicijos'!$J$5:$J$9+'2. Investicijos'!$K$5:$K$9+'2. Investicijos'!$L$5:$L$9)/'2. Investicijos'!$H$5:$H$9,0))-D80-SUM(Q$5:Q$9)-D82-MAX(0,-C87)*IFERROR(SUMPRODUCT('2. Investicijos'!$N$5:$N$9,'2. Investicijos'!$O$5:$O$9/100)/SUM('2. Investicijos'!$N$5:$N$9),0)</f>
        <v>#VALUE!</v>
      </c>
      <c r="E87" s="62" t="e" cm="1">
        <f t="array" ref="E87">D87+('3. Finansinės prielaidos'!E31-'3. Finansinės prielaidos'!D31)+E84+E81+SUMPRODUCT('4. Metinis CAPEX'!H$9:H$13,IFERROR(('2. Investicijos'!$I$5:$I$9+'2. Investicijos'!$J$5:$J$9+'2. Investicijos'!$K$5:$K$9+'2. Investicijos'!$L$5:$L$9)/'2. Investicijos'!$H$5:$H$9,0))-E80-SUM(R$5:R$9)-E82-MAX(0,-D87)*IFERROR(SUMPRODUCT('2. Investicijos'!$N$5:$N$9,'2. Investicijos'!$O$5:$O$9/100)/SUM('2. Investicijos'!$N$5:$N$9),0)</f>
        <v>#VALUE!</v>
      </c>
      <c r="F87" s="62" t="e" cm="1">
        <f t="array" ref="F87">E87+('3. Finansinės prielaidos'!F31-'3. Finansinės prielaidos'!E31)+F84+F81+SUMPRODUCT('4. Metinis CAPEX'!I$9:I$13,IFERROR(('2. Investicijos'!$I$5:$I$9+'2. Investicijos'!$J$5:$J$9+'2. Investicijos'!$K$5:$K$9+'2. Investicijos'!$L$5:$L$9)/'2. Investicijos'!$H$5:$H$9,0))-F80-SUM(S$5:S$9)-F82-MAX(0,-E87)*IFERROR(SUMPRODUCT('2. Investicijos'!$N$5:$N$9,'2. Investicijos'!$O$5:$O$9/100)/SUM('2. Investicijos'!$N$5:$N$9),0)</f>
        <v>#VALUE!</v>
      </c>
      <c r="G87" s="62" t="e" cm="1">
        <f t="array" ref="G87">F87+('3. Finansinės prielaidos'!G31-'3. Finansinės prielaidos'!F31)+G84+G81+SUMPRODUCT('4. Metinis CAPEX'!J$9:J$13,IFERROR(('2. Investicijos'!$I$5:$I$9+'2. Investicijos'!$J$5:$J$9+'2. Investicijos'!$K$5:$K$9+'2. Investicijos'!$L$5:$L$9)/'2. Investicijos'!$H$5:$H$9,0))-G80-SUM(T$5:T$9)-G82-MAX(0,-F87)*IFERROR(SUMPRODUCT('2. Investicijos'!$N$5:$N$9,'2. Investicijos'!$O$5:$O$9/100)/SUM('2. Investicijos'!$N$5:$N$9),0)</f>
        <v>#VALUE!</v>
      </c>
      <c r="H87" s="62" t="e" cm="1">
        <f t="array" ref="H87">G87+('3. Finansinės prielaidos'!H31-'3. Finansinės prielaidos'!G31)+H84+H81+SUMPRODUCT('4. Metinis CAPEX'!K$9:K$13,IFERROR(('2. Investicijos'!$I$5:$I$9+'2. Investicijos'!$J$5:$J$9+'2. Investicijos'!$K$5:$K$9+'2. Investicijos'!$L$5:$L$9)/'2. Investicijos'!$H$5:$H$9,0))-H80-SUM(U$5:U$9)-H82-MAX(0,-G87)*IFERROR(SUMPRODUCT('2. Investicijos'!$N$5:$N$9,'2. Investicijos'!$O$5:$O$9/100)/SUM('2. Investicijos'!$N$5:$N$9),0)</f>
        <v>#VALUE!</v>
      </c>
      <c r="I87" s="62" t="e" cm="1">
        <f t="array" ref="I87">H87+('3. Finansinės prielaidos'!I31-'3. Finansinės prielaidos'!H31)+I84+I81+SUMPRODUCT('4. Metinis CAPEX'!L$9:L$13,IFERROR(('2. Investicijos'!$I$5:$I$9+'2. Investicijos'!$J$5:$J$9+'2. Investicijos'!$K$5:$K$9+'2. Investicijos'!$L$5:$L$9)/'2. Investicijos'!$H$5:$H$9,0))-I80-SUM(V$5:V$9)-I82-MAX(0,-H87)*IFERROR(SUMPRODUCT('2. Investicijos'!$N$5:$N$9,'2. Investicijos'!$O$5:$O$9/100)/SUM('2. Investicijos'!$N$5:$N$9),0)</f>
        <v>#VALUE!</v>
      </c>
      <c r="J87" s="62" t="e" cm="1">
        <f t="array" ref="J87">I87+('3. Finansinės prielaidos'!J31-'3. Finansinės prielaidos'!I31)+J84+J81+SUMPRODUCT('4. Metinis CAPEX'!M$9:M$13,IFERROR(('2. Investicijos'!$I$5:$I$9+'2. Investicijos'!$J$5:$J$9+'2. Investicijos'!$K$5:$K$9+'2. Investicijos'!$L$5:$L$9)/'2. Investicijos'!$H$5:$H$9,0))-J80-SUM(W$5:W$9)-J82-MAX(0,-I87)*IFERROR(SUMPRODUCT('2. Investicijos'!$N$5:$N$9,'2. Investicijos'!$O$5:$O$9/100)/SUM('2. Investicijos'!$N$5:$N$9),0)</f>
        <v>#VALUE!</v>
      </c>
      <c r="K87" s="62" t="e" cm="1">
        <f t="array" ref="K87">J87+('3. Finansinės prielaidos'!K31-'3. Finansinės prielaidos'!J31)+K84+K81+SUMPRODUCT('4. Metinis CAPEX'!N$9:N$13,IFERROR(('2. Investicijos'!$I$5:$I$9+'2. Investicijos'!$J$5:$J$9+'2. Investicijos'!$K$5:$K$9+'2. Investicijos'!$L$5:$L$9)/'2. Investicijos'!$H$5:$H$9,0))-K80-SUM(X$5:X$9)-K82-MAX(0,-J87)*IFERROR(SUMPRODUCT('2. Investicijos'!$N$5:$N$9,'2. Investicijos'!$O$5:$O$9/100)/SUM('2. Investicijos'!$N$5:$N$9),0)</f>
        <v>#VALUE!</v>
      </c>
      <c r="L87" s="62" t="e" cm="1">
        <f t="array" ref="L87">K87+('3. Finansinės prielaidos'!L31-'3. Finansinės prielaidos'!K31)+L84+L81+SUMPRODUCT('4. Metinis CAPEX'!O$9:O$13,IFERROR(('2. Investicijos'!$I$5:$I$9+'2. Investicijos'!$J$5:$J$9+'2. Investicijos'!$K$5:$K$9+'2. Investicijos'!$L$5:$L$9)/'2. Investicijos'!$H$5:$H$9,0))-L80-SUM(Y$5:Y$9)-L82-MAX(0,-K87)*IFERROR(SUMPRODUCT('2. Investicijos'!$N$5:$N$9,'2. Investicijos'!$O$5:$O$9/100)/SUM('2. Investicijos'!$N$5:$N$9),0)</f>
        <v>#VALUE!</v>
      </c>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row>
    <row r="88" spans="1:45">
      <c r="A88" s="57">
        <v>5</v>
      </c>
      <c r="B88" s="57" t="s">
        <v>23</v>
      </c>
      <c r="C88" s="62" t="e">
        <f t="shared" ref="C88:L88" si="59">IF(OR(C85="",C86="",C87="",C85&lt;=0),"",(C86-C87)/C85)</f>
        <v>#VALUE!</v>
      </c>
      <c r="D88" s="62" t="e">
        <f t="shared" si="59"/>
        <v>#VALUE!</v>
      </c>
      <c r="E88" s="62" t="e">
        <f t="shared" si="59"/>
        <v>#VALUE!</v>
      </c>
      <c r="F88" s="62" t="e">
        <f t="shared" si="59"/>
        <v>#VALUE!</v>
      </c>
      <c r="G88" s="62" t="e">
        <f t="shared" si="59"/>
        <v>#VALUE!</v>
      </c>
      <c r="H88" s="62" t="e">
        <f t="shared" si="59"/>
        <v>#VALUE!</v>
      </c>
      <c r="I88" s="62" t="e">
        <f t="shared" si="59"/>
        <v>#VALUE!</v>
      </c>
      <c r="J88" s="62" t="e">
        <f t="shared" si="59"/>
        <v>#VALUE!</v>
      </c>
      <c r="K88" s="62" t="e">
        <f t="shared" si="59"/>
        <v>#VALUE!</v>
      </c>
      <c r="L88" s="62" t="e">
        <f t="shared" si="59"/>
        <v>#VALUE!</v>
      </c>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row>
    <row r="89" spans="1:45">
      <c r="A89" s="57">
        <v>5</v>
      </c>
      <c r="B89" s="57" t="s">
        <v>24</v>
      </c>
      <c r="C89" s="62" t="e">
        <f>IF(OR(C85="",C85&lt;=0,'3. Finansinės prielaidos'!C32=""),"",IF('3. Finansinės prielaidos'!C32+SUM(P$5:P$9)+C82+0=0,999999,C85/('3. Finansinės prielaidos'!C32+SUM(P$5:P$9)+C82+0)))</f>
        <v>#VALUE!</v>
      </c>
      <c r="D89" s="62" t="e" cm="1">
        <f t="array" ref="D89">IF(OR(D85="",D85&lt;=0,'3. Finansinės prielaidos'!D32=""),"",IF('3. Finansinės prielaidos'!D32+SUM(Q$5:Q$9)+D82+MAX(0,-C87)*IFERROR(SUMPRODUCT('2. Investicijos'!$N$5:$N$9,'2. Investicijos'!$O$5:$O$9/100)/SUM('2. Investicijos'!$N$5:$N$9),0)=0,999999,D85/('3. Finansinės prielaidos'!D32+SUM(Q$5:Q$9)+D82+MAX(0,-C87)*IFERROR(SUMPRODUCT('2. Investicijos'!$N$5:$N$9,'2. Investicijos'!$O$5:$O$9/100)/SUM('2. Investicijos'!$N$5:$N$9),0))))</f>
        <v>#VALUE!</v>
      </c>
      <c r="E89" s="62" t="e" cm="1">
        <f t="array" ref="E89">IF(OR(E85="",E85&lt;=0,'3. Finansinės prielaidos'!E32=""),"",IF('3. Finansinės prielaidos'!E32+SUM(R$5:R$9)+E82+MAX(0,-D87)*IFERROR(SUMPRODUCT('2. Investicijos'!$N$5:$N$9,'2. Investicijos'!$O$5:$O$9/100)/SUM('2. Investicijos'!$N$5:$N$9),0)=0,999999,E85/('3. Finansinės prielaidos'!E32+SUM(R$5:R$9)+E82+MAX(0,-D87)*IFERROR(SUMPRODUCT('2. Investicijos'!$N$5:$N$9,'2. Investicijos'!$O$5:$O$9/100)/SUM('2. Investicijos'!$N$5:$N$9),0))))</f>
        <v>#VALUE!</v>
      </c>
      <c r="F89" s="62" t="e" cm="1">
        <f t="array" ref="F89">IF(OR(F85="",F85&lt;=0,'3. Finansinės prielaidos'!F32=""),"",IF('3. Finansinės prielaidos'!F32+SUM(S$5:S$9)+F82+MAX(0,-E87)*IFERROR(SUMPRODUCT('2. Investicijos'!$N$5:$N$9,'2. Investicijos'!$O$5:$O$9/100)/SUM('2. Investicijos'!$N$5:$N$9),0)=0,999999,F85/('3. Finansinės prielaidos'!F32+SUM(S$5:S$9)+F82+MAX(0,-E87)*IFERROR(SUMPRODUCT('2. Investicijos'!$N$5:$N$9,'2. Investicijos'!$O$5:$O$9/100)/SUM('2. Investicijos'!$N$5:$N$9),0))))</f>
        <v>#VALUE!</v>
      </c>
      <c r="G89" s="62" t="e" cm="1">
        <f t="array" ref="G89">IF(OR(G85="",G85&lt;=0,'3. Finansinės prielaidos'!G32=""),"",IF('3. Finansinės prielaidos'!G32+SUM(T$5:T$9)+G82+MAX(0,-F87)*IFERROR(SUMPRODUCT('2. Investicijos'!$N$5:$N$9,'2. Investicijos'!$O$5:$O$9/100)/SUM('2. Investicijos'!$N$5:$N$9),0)=0,999999,G85/('3. Finansinės prielaidos'!G32+SUM(T$5:T$9)+G82+MAX(0,-F87)*IFERROR(SUMPRODUCT('2. Investicijos'!$N$5:$N$9,'2. Investicijos'!$O$5:$O$9/100)/SUM('2. Investicijos'!$N$5:$N$9),0))))</f>
        <v>#VALUE!</v>
      </c>
      <c r="H89" s="62" t="e" cm="1">
        <f t="array" ref="H89">IF(OR(H85="",H85&lt;=0,'3. Finansinės prielaidos'!H32=""),"",IF('3. Finansinės prielaidos'!H32+SUM(U$5:U$9)+H82+MAX(0,-G87)*IFERROR(SUMPRODUCT('2. Investicijos'!$N$5:$N$9,'2. Investicijos'!$O$5:$O$9/100)/SUM('2. Investicijos'!$N$5:$N$9),0)=0,999999,H85/('3. Finansinės prielaidos'!H32+SUM(U$5:U$9)+H82+MAX(0,-G87)*IFERROR(SUMPRODUCT('2. Investicijos'!$N$5:$N$9,'2. Investicijos'!$O$5:$O$9/100)/SUM('2. Investicijos'!$N$5:$N$9),0))))</f>
        <v>#VALUE!</v>
      </c>
      <c r="I89" s="62" t="e" cm="1">
        <f t="array" ref="I89">IF(OR(I85="",I85&lt;=0,'3. Finansinės prielaidos'!I32=""),"",IF('3. Finansinės prielaidos'!I32+SUM(V$5:V$9)+I82+MAX(0,-H87)*IFERROR(SUMPRODUCT('2. Investicijos'!$N$5:$N$9,'2. Investicijos'!$O$5:$O$9/100)/SUM('2. Investicijos'!$N$5:$N$9),0)=0,999999,I85/('3. Finansinės prielaidos'!I32+SUM(V$5:V$9)+I82+MAX(0,-H87)*IFERROR(SUMPRODUCT('2. Investicijos'!$N$5:$N$9,'2. Investicijos'!$O$5:$O$9/100)/SUM('2. Investicijos'!$N$5:$N$9),0))))</f>
        <v>#VALUE!</v>
      </c>
      <c r="J89" s="62" t="e" cm="1">
        <f t="array" ref="J89">IF(OR(J85="",J85&lt;=0,'3. Finansinės prielaidos'!J32=""),"",IF('3. Finansinės prielaidos'!J32+SUM(W$5:W$9)+J82+MAX(0,-I87)*IFERROR(SUMPRODUCT('2. Investicijos'!$N$5:$N$9,'2. Investicijos'!$O$5:$O$9/100)/SUM('2. Investicijos'!$N$5:$N$9),0)=0,999999,J85/('3. Finansinės prielaidos'!J32+SUM(W$5:W$9)+J82+MAX(0,-I87)*IFERROR(SUMPRODUCT('2. Investicijos'!$N$5:$N$9,'2. Investicijos'!$O$5:$O$9/100)/SUM('2. Investicijos'!$N$5:$N$9),0))))</f>
        <v>#VALUE!</v>
      </c>
      <c r="K89" s="62" t="e" cm="1">
        <f t="array" ref="K89">IF(OR(K85="",K85&lt;=0,'3. Finansinės prielaidos'!K32=""),"",IF('3. Finansinės prielaidos'!K32+SUM(X$5:X$9)+K82+MAX(0,-J87)*IFERROR(SUMPRODUCT('2. Investicijos'!$N$5:$N$9,'2. Investicijos'!$O$5:$O$9/100)/SUM('2. Investicijos'!$N$5:$N$9),0)=0,999999,K85/('3. Finansinės prielaidos'!K32+SUM(X$5:X$9)+K82+MAX(0,-J87)*IFERROR(SUMPRODUCT('2. Investicijos'!$N$5:$N$9,'2. Investicijos'!$O$5:$O$9/100)/SUM('2. Investicijos'!$N$5:$N$9),0))))</f>
        <v>#VALUE!</v>
      </c>
      <c r="L89" s="62" t="e" cm="1">
        <f t="array" ref="L89">IF(OR(L85="",L85&lt;=0,'3. Finansinės prielaidos'!L32=""),"",IF('3. Finansinės prielaidos'!L32+SUM(Y$5:Y$9)+L82+MAX(0,-K87)*IFERROR(SUMPRODUCT('2. Investicijos'!$N$5:$N$9,'2. Investicijos'!$O$5:$O$9/100)/SUM('2. Investicijos'!$N$5:$N$9),0)=0,999999,L85/('3. Finansinės prielaidos'!L32+SUM(Y$5:Y$9)+L82+MAX(0,-K87)*IFERROR(SUMPRODUCT('2. Investicijos'!$N$5:$N$9,'2. Investicijos'!$O$5:$O$9/100)/SUM('2. Investicijos'!$N$5:$N$9),0))))</f>
        <v>#VALUE!</v>
      </c>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row>
    <row r="90" spans="1:45">
      <c r="A90" s="57">
        <v>6</v>
      </c>
      <c r="B90" s="57" t="s">
        <v>58</v>
      </c>
      <c r="C90" s="62">
        <f>SUM('4. Metinis CAPEX'!F$9:F$14)</f>
        <v>0</v>
      </c>
      <c r="D90" s="62">
        <f>SUM('4. Metinis CAPEX'!G$9:G$14)</f>
        <v>0</v>
      </c>
      <c r="E90" s="62">
        <f>SUM('4. Metinis CAPEX'!H$9:H$14)</f>
        <v>0</v>
      </c>
      <c r="F90" s="62">
        <f>SUM('4. Metinis CAPEX'!I$9:I$14)</f>
        <v>0</v>
      </c>
      <c r="G90" s="62">
        <f>SUM('4. Metinis CAPEX'!J$9:J$14)</f>
        <v>0</v>
      </c>
      <c r="H90" s="62">
        <f>SUM('4. Metinis CAPEX'!K$9:K$14)</f>
        <v>0</v>
      </c>
      <c r="I90" s="62">
        <f>SUM('4. Metinis CAPEX'!L$9:L$14)</f>
        <v>0</v>
      </c>
      <c r="J90" s="62">
        <f>SUM('4. Metinis CAPEX'!M$9:M$14)</f>
        <v>0</v>
      </c>
      <c r="K90" s="62">
        <f>SUM('4. Metinis CAPEX'!N$9:N$14)</f>
        <v>0</v>
      </c>
      <c r="L90" s="62">
        <f>SUM('4. Metinis CAPEX'!O$9:O$14)</f>
        <v>0</v>
      </c>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row>
    <row r="91" spans="1:45">
      <c r="A91" s="57">
        <v>6</v>
      </c>
      <c r="B91" s="57" t="s">
        <v>59</v>
      </c>
      <c r="C91" s="62">
        <f t="shared" ref="C91:L91" si="60">SUM(F$5:F$10)</f>
        <v>0</v>
      </c>
      <c r="D91" s="62">
        <f t="shared" si="60"/>
        <v>0</v>
      </c>
      <c r="E91" s="62">
        <f t="shared" si="60"/>
        <v>0</v>
      </c>
      <c r="F91" s="62">
        <f t="shared" si="60"/>
        <v>0</v>
      </c>
      <c r="G91" s="62">
        <f t="shared" si="60"/>
        <v>0</v>
      </c>
      <c r="H91" s="62">
        <f t="shared" si="60"/>
        <v>0</v>
      </c>
      <c r="I91" s="62">
        <f t="shared" si="60"/>
        <v>0</v>
      </c>
      <c r="J91" s="62">
        <f t="shared" si="60"/>
        <v>0</v>
      </c>
      <c r="K91" s="62">
        <f t="shared" si="60"/>
        <v>0</v>
      </c>
      <c r="L91" s="62">
        <f t="shared" si="60"/>
        <v>0</v>
      </c>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row>
    <row r="92" spans="1:45">
      <c r="A92" s="57">
        <v>6</v>
      </c>
      <c r="B92" s="57" t="s">
        <v>60</v>
      </c>
      <c r="C92" s="62">
        <f t="shared" ref="C92:L92" si="61">SUM(Z$5:Z$10)</f>
        <v>0</v>
      </c>
      <c r="D92" s="62">
        <f t="shared" si="61"/>
        <v>0</v>
      </c>
      <c r="E92" s="62">
        <f t="shared" si="61"/>
        <v>0</v>
      </c>
      <c r="F92" s="62">
        <f t="shared" si="61"/>
        <v>0</v>
      </c>
      <c r="G92" s="62">
        <f t="shared" si="61"/>
        <v>0</v>
      </c>
      <c r="H92" s="62">
        <f t="shared" si="61"/>
        <v>0</v>
      </c>
      <c r="I92" s="62">
        <f t="shared" si="61"/>
        <v>0</v>
      </c>
      <c r="J92" s="62">
        <f t="shared" si="61"/>
        <v>0</v>
      </c>
      <c r="K92" s="62">
        <f t="shared" si="61"/>
        <v>0</v>
      </c>
      <c r="L92" s="62">
        <f t="shared" si="61"/>
        <v>0</v>
      </c>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row>
    <row r="93" spans="1:45">
      <c r="A93" s="57">
        <v>6</v>
      </c>
      <c r="B93" s="57" t="s">
        <v>61</v>
      </c>
      <c r="C93" s="62">
        <f t="shared" ref="C93:L93" si="62">SUM(AJ$5:AJ$10)</f>
        <v>0</v>
      </c>
      <c r="D93" s="62">
        <f t="shared" si="62"/>
        <v>0</v>
      </c>
      <c r="E93" s="62">
        <f t="shared" si="62"/>
        <v>0</v>
      </c>
      <c r="F93" s="62">
        <f t="shared" si="62"/>
        <v>0</v>
      </c>
      <c r="G93" s="62">
        <f t="shared" si="62"/>
        <v>0</v>
      </c>
      <c r="H93" s="62">
        <f t="shared" si="62"/>
        <v>0</v>
      </c>
      <c r="I93" s="62">
        <f t="shared" si="62"/>
        <v>0</v>
      </c>
      <c r="J93" s="62">
        <f t="shared" si="62"/>
        <v>0</v>
      </c>
      <c r="K93" s="62">
        <f t="shared" si="62"/>
        <v>0</v>
      </c>
      <c r="L93" s="62">
        <f t="shared" si="62"/>
        <v>0</v>
      </c>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row>
    <row r="94" spans="1:45">
      <c r="A94" s="57">
        <v>6</v>
      </c>
      <c r="B94" s="57" t="s">
        <v>155</v>
      </c>
      <c r="C94" s="62" t="e" cm="1">
        <f t="array" ref="C94">SUMPRODUCT(--(2026&gt;'2. Investicijos'!$F$5:$F$10),--(2026&lt;='2. Investicijos'!$F$5:$F$10+'2. Investicijos'!$G$5:$G$10),IFERROR(('2. Investicijos'!$M$5:$M$10+'2. Investicijos'!$N$5:$N$10)/'2. Investicijos'!$G$5:$G$10,0))+SUMPRODUCT(--(2026&gt;'2. Investicijos'!$F$5:$F$10),--(2026&lt;='2. Investicijos'!$F$5:$F$10+'2. Investicijos'!$G$5:$G$10),IFERROR(('2. Investicijos'!$M$5:$M$10+'2. Investicijos'!$N$5:$N$10)*(1-((2026-'2. Investicijos'!$F$5:$F$10)-1)/'2. Investicijos'!$G$5:$G$10),0)*'5. 0% scenarijus'!$C$5)</f>
        <v>#VALUE!</v>
      </c>
      <c r="D94" s="62" t="e" cm="1">
        <f t="array" ref="D94">SUMPRODUCT(--(2027&gt;'2. Investicijos'!$F$5:$F$10),--(2027&lt;='2. Investicijos'!$F$5:$F$10+'2. Investicijos'!$G$5:$G$10),IFERROR(('2. Investicijos'!$M$5:$M$10+'2. Investicijos'!$N$5:$N$10)/'2. Investicijos'!$G$5:$G$10,0))+SUMPRODUCT(--(2027&gt;'2. Investicijos'!$F$5:$F$10),--(2027&lt;='2. Investicijos'!$F$5:$F$10+'2. Investicijos'!$G$5:$G$10),IFERROR(('2. Investicijos'!$M$5:$M$10+'2. Investicijos'!$N$5:$N$10)*(1-((2027-'2. Investicijos'!$F$5:$F$10)-1)/'2. Investicijos'!$G$5:$G$10),0)*'5. 0% scenarijus'!$C$5)</f>
        <v>#VALUE!</v>
      </c>
      <c r="E94" s="62" t="e" cm="1">
        <f t="array" ref="E94">SUMPRODUCT(--(2028&gt;'2. Investicijos'!$F$5:$F$10),--(2028&lt;='2. Investicijos'!$F$5:$F$10+'2. Investicijos'!$G$5:$G$10),IFERROR(('2. Investicijos'!$M$5:$M$10+'2. Investicijos'!$N$5:$N$10)/'2. Investicijos'!$G$5:$G$10,0))+SUMPRODUCT(--(2028&gt;'2. Investicijos'!$F$5:$F$10),--(2028&lt;='2. Investicijos'!$F$5:$F$10+'2. Investicijos'!$G$5:$G$10),IFERROR(('2. Investicijos'!$M$5:$M$10+'2. Investicijos'!$N$5:$N$10)*(1-((2028-'2. Investicijos'!$F$5:$F$10)-1)/'2. Investicijos'!$G$5:$G$10),0)*'5. 0% scenarijus'!$C$5)</f>
        <v>#VALUE!</v>
      </c>
      <c r="F94" s="62" t="e" cm="1">
        <f t="array" ref="F94">SUMPRODUCT(--(2029&gt;'2. Investicijos'!$F$5:$F$10),--(2029&lt;='2. Investicijos'!$F$5:$F$10+'2. Investicijos'!$G$5:$G$10),IFERROR(('2. Investicijos'!$M$5:$M$10+'2. Investicijos'!$N$5:$N$10)/'2. Investicijos'!$G$5:$G$10,0))+SUMPRODUCT(--(2029&gt;'2. Investicijos'!$F$5:$F$10),--(2029&lt;='2. Investicijos'!$F$5:$F$10+'2. Investicijos'!$G$5:$G$10),IFERROR(('2. Investicijos'!$M$5:$M$10+'2. Investicijos'!$N$5:$N$10)*(1-((2029-'2. Investicijos'!$F$5:$F$10)-1)/'2. Investicijos'!$G$5:$G$10),0)*'5. 0% scenarijus'!$C$5)</f>
        <v>#VALUE!</v>
      </c>
      <c r="G94" s="62" t="e" cm="1">
        <f t="array" ref="G94">SUMPRODUCT(--(2030&gt;'2. Investicijos'!$F$5:$F$10),--(2030&lt;='2. Investicijos'!$F$5:$F$10+'2. Investicijos'!$G$5:$G$10),IFERROR(('2. Investicijos'!$M$5:$M$10+'2. Investicijos'!$N$5:$N$10)/'2. Investicijos'!$G$5:$G$10,0))+SUMPRODUCT(--(2030&gt;'2. Investicijos'!$F$5:$F$10),--(2030&lt;='2. Investicijos'!$F$5:$F$10+'2. Investicijos'!$G$5:$G$10),IFERROR(('2. Investicijos'!$M$5:$M$10+'2. Investicijos'!$N$5:$N$10)*(1-((2030-'2. Investicijos'!$F$5:$F$10)-1)/'2. Investicijos'!$G$5:$G$10),0)*'5. 0% scenarijus'!$C$5)</f>
        <v>#VALUE!</v>
      </c>
      <c r="H94" s="62" t="e" cm="1">
        <f t="array" ref="H94">SUMPRODUCT(--(2031&gt;'2. Investicijos'!$F$5:$F$10),--(2031&lt;='2. Investicijos'!$F$5:$F$10+'2. Investicijos'!$G$5:$G$10),IFERROR(('2. Investicijos'!$M$5:$M$10+'2. Investicijos'!$N$5:$N$10)/'2. Investicijos'!$G$5:$G$10,0))+SUMPRODUCT(--(2031&gt;'2. Investicijos'!$F$5:$F$10),--(2031&lt;='2. Investicijos'!$F$5:$F$10+'2. Investicijos'!$G$5:$G$10),IFERROR(('2. Investicijos'!$M$5:$M$10+'2. Investicijos'!$N$5:$N$10)*(1-((2031-'2. Investicijos'!$F$5:$F$10)-1)/'2. Investicijos'!$G$5:$G$10),0)*'5. 0% scenarijus'!$C$5)</f>
        <v>#VALUE!</v>
      </c>
      <c r="I94" s="62" t="e" cm="1">
        <f t="array" ref="I94">SUMPRODUCT(--(2032&gt;'2. Investicijos'!$F$5:$F$10),--(2032&lt;='2. Investicijos'!$F$5:$F$10+'2. Investicijos'!$G$5:$G$10),IFERROR(('2. Investicijos'!$M$5:$M$10+'2. Investicijos'!$N$5:$N$10)/'2. Investicijos'!$G$5:$G$10,0))+SUMPRODUCT(--(2032&gt;'2. Investicijos'!$F$5:$F$10),--(2032&lt;='2. Investicijos'!$F$5:$F$10+'2. Investicijos'!$G$5:$G$10),IFERROR(('2. Investicijos'!$M$5:$M$10+'2. Investicijos'!$N$5:$N$10)*(1-((2032-'2. Investicijos'!$F$5:$F$10)-1)/'2. Investicijos'!$G$5:$G$10),0)*'5. 0% scenarijus'!$C$5)</f>
        <v>#VALUE!</v>
      </c>
      <c r="J94" s="62" t="e" cm="1">
        <f t="array" ref="J94">SUMPRODUCT(--(2033&gt;'2. Investicijos'!$F$5:$F$10),--(2033&lt;='2. Investicijos'!$F$5:$F$10+'2. Investicijos'!$G$5:$G$10),IFERROR(('2. Investicijos'!$M$5:$M$10+'2. Investicijos'!$N$5:$N$10)/'2. Investicijos'!$G$5:$G$10,0))+SUMPRODUCT(--(2033&gt;'2. Investicijos'!$F$5:$F$10),--(2033&lt;='2. Investicijos'!$F$5:$F$10+'2. Investicijos'!$G$5:$G$10),IFERROR(('2. Investicijos'!$M$5:$M$10+'2. Investicijos'!$N$5:$N$10)*(1-((2033-'2. Investicijos'!$F$5:$F$10)-1)/'2. Investicijos'!$G$5:$G$10),0)*'5. 0% scenarijus'!$C$5)</f>
        <v>#VALUE!</v>
      </c>
      <c r="K94" s="62" t="e" cm="1">
        <f t="array" ref="K94">SUMPRODUCT(--(2034&gt;'2. Investicijos'!$F$5:$F$10),--(2034&lt;='2. Investicijos'!$F$5:$F$10+'2. Investicijos'!$G$5:$G$10),IFERROR(('2. Investicijos'!$M$5:$M$10+'2. Investicijos'!$N$5:$N$10)/'2. Investicijos'!$G$5:$G$10,0))+SUMPRODUCT(--(2034&gt;'2. Investicijos'!$F$5:$F$10),--(2034&lt;='2. Investicijos'!$F$5:$F$10+'2. Investicijos'!$G$5:$G$10),IFERROR(('2. Investicijos'!$M$5:$M$10+'2. Investicijos'!$N$5:$N$10)*(1-((2034-'2. Investicijos'!$F$5:$F$10)-1)/'2. Investicijos'!$G$5:$G$10),0)*'5. 0% scenarijus'!$C$5)</f>
        <v>#VALUE!</v>
      </c>
      <c r="L94" s="62" t="e" cm="1">
        <f t="array" ref="L94">SUMPRODUCT(--(2035&gt;'2. Investicijos'!$F$5:$F$10),--(2035&lt;='2. Investicijos'!$F$5:$F$10+'2. Investicijos'!$G$5:$G$10),IFERROR(('2. Investicijos'!$M$5:$M$10+'2. Investicijos'!$N$5:$N$10)/'2. Investicijos'!$G$5:$G$10,0))+SUMPRODUCT(--(2035&gt;'2. Investicijos'!$F$5:$F$10),--(2035&lt;='2. Investicijos'!$F$5:$F$10+'2. Investicijos'!$G$5:$G$10),IFERROR(('2. Investicijos'!$M$5:$M$10+'2. Investicijos'!$N$5:$N$10)*(1-((2035-'2. Investicijos'!$F$5:$F$10)-1)/'2. Investicijos'!$G$5:$G$10),0)*'5. 0% scenarijus'!$C$5)</f>
        <v>#VALUE!</v>
      </c>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row>
    <row r="95" spans="1:45">
      <c r="A95" s="57">
        <v>6</v>
      </c>
      <c r="B95" s="57" t="s">
        <v>62</v>
      </c>
      <c r="C95" s="62" t="e">
        <f>'3. Finansinės prielaidos'!C29+C94</f>
        <v>#VALUE!</v>
      </c>
      <c r="D95" s="62" t="e">
        <f>'3. Finansinės prielaidos'!D29+D94</f>
        <v>#VALUE!</v>
      </c>
      <c r="E95" s="62" t="e">
        <f>'3. Finansinės prielaidos'!E29+E94</f>
        <v>#VALUE!</v>
      </c>
      <c r="F95" s="62" t="e">
        <f>'3. Finansinės prielaidos'!F29+F94</f>
        <v>#VALUE!</v>
      </c>
      <c r="G95" s="62" t="e">
        <f>'3. Finansinės prielaidos'!G29+G94</f>
        <v>#VALUE!</v>
      </c>
      <c r="H95" s="62" t="e">
        <f>'3. Finansinės prielaidos'!H29+H94</f>
        <v>#VALUE!</v>
      </c>
      <c r="I95" s="62" t="e">
        <f>'3. Finansinės prielaidos'!I29+I94</f>
        <v>#VALUE!</v>
      </c>
      <c r="J95" s="62" t="e">
        <f>'3. Finansinės prielaidos'!J29+J94</f>
        <v>#VALUE!</v>
      </c>
      <c r="K95" s="62" t="e">
        <f>'3. Finansinės prielaidos'!K29+K94</f>
        <v>#VALUE!</v>
      </c>
      <c r="L95" s="62" t="e">
        <f>'3. Finansinės prielaidos'!L29+L94</f>
        <v>#VALUE!</v>
      </c>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row>
    <row r="96" spans="1:45">
      <c r="A96" s="57">
        <v>6</v>
      </c>
      <c r="B96" s="57" t="s">
        <v>159</v>
      </c>
      <c r="C96" s="62">
        <f>'3. Finansinės prielaidos'!C30+C93</f>
        <v>0</v>
      </c>
      <c r="D96" s="62">
        <f>'3. Finansinės prielaidos'!D30+D93</f>
        <v>0</v>
      </c>
      <c r="E96" s="62">
        <f>'3. Finansinės prielaidos'!E30+E93</f>
        <v>0</v>
      </c>
      <c r="F96" s="62">
        <f>'3. Finansinės prielaidos'!F30+F93</f>
        <v>0</v>
      </c>
      <c r="G96" s="62">
        <f>'3. Finansinės prielaidos'!G30+G93</f>
        <v>0</v>
      </c>
      <c r="H96" s="62">
        <f>'3. Finansinės prielaidos'!H30+H93</f>
        <v>0</v>
      </c>
      <c r="I96" s="62">
        <f>'3. Finansinės prielaidos'!I30+I93</f>
        <v>0</v>
      </c>
      <c r="J96" s="62">
        <f>'3. Finansinės prielaidos'!J30+J93</f>
        <v>0</v>
      </c>
      <c r="K96" s="62">
        <f>'3. Finansinės prielaidos'!K30+K93</f>
        <v>0</v>
      </c>
      <c r="L96" s="62">
        <f>'3. Finansinės prielaidos'!L30+L93</f>
        <v>0</v>
      </c>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row>
    <row r="97" spans="1:45">
      <c r="A97" s="57">
        <v>6</v>
      </c>
      <c r="B97" s="57" t="s">
        <v>160</v>
      </c>
      <c r="C97" s="62" t="e" cm="1">
        <f t="array" ref="C97">'3. Finansinės prielaidos'!C31+C94+C91+SUMPRODUCT('4. Metinis CAPEX'!F$9:F$14,IFERROR(('2. Investicijos'!$I$5:$I$10+'2. Investicijos'!$J$5:$J$10+'2. Investicijos'!$K$5:$K$10+'2. Investicijos'!$L$5:$L$10)/'2. Investicijos'!$H$5:$H$10,0))-C90-SUM(P$5:P$10)-C92-0</f>
        <v>#VALUE!</v>
      </c>
      <c r="D97" s="62" t="e" cm="1">
        <f t="array" ref="D97">C97+('3. Finansinės prielaidos'!D31-'3. Finansinės prielaidos'!C31)+D94+D91+SUMPRODUCT('4. Metinis CAPEX'!G$9:G$14,IFERROR(('2. Investicijos'!$I$5:$I$10+'2. Investicijos'!$J$5:$J$10+'2. Investicijos'!$K$5:$K$10+'2. Investicijos'!$L$5:$L$10)/'2. Investicijos'!$H$5:$H$10,0))-D90-SUM(Q$5:Q$10)-D92-MAX(0,-C97)*IFERROR(SUMPRODUCT('2. Investicijos'!$N$5:$N$10,'2. Investicijos'!$O$5:$O$10/100)/SUM('2. Investicijos'!$N$5:$N$10),0)</f>
        <v>#VALUE!</v>
      </c>
      <c r="E97" s="62" t="e" cm="1">
        <f t="array" ref="E97">D97+('3. Finansinės prielaidos'!E31-'3. Finansinės prielaidos'!D31)+E94+E91+SUMPRODUCT('4. Metinis CAPEX'!H$9:H$14,IFERROR(('2. Investicijos'!$I$5:$I$10+'2. Investicijos'!$J$5:$J$10+'2. Investicijos'!$K$5:$K$10+'2. Investicijos'!$L$5:$L$10)/'2. Investicijos'!$H$5:$H$10,0))-E90-SUM(R$5:R$10)-E92-MAX(0,-D97)*IFERROR(SUMPRODUCT('2. Investicijos'!$N$5:$N$10,'2. Investicijos'!$O$5:$O$10/100)/SUM('2. Investicijos'!$N$5:$N$10),0)</f>
        <v>#VALUE!</v>
      </c>
      <c r="F97" s="62" t="e" cm="1">
        <f t="array" ref="F97">E97+('3. Finansinės prielaidos'!F31-'3. Finansinės prielaidos'!E31)+F94+F91+SUMPRODUCT('4. Metinis CAPEX'!I$9:I$14,IFERROR(('2. Investicijos'!$I$5:$I$10+'2. Investicijos'!$J$5:$J$10+'2. Investicijos'!$K$5:$K$10+'2. Investicijos'!$L$5:$L$10)/'2. Investicijos'!$H$5:$H$10,0))-F90-SUM(S$5:S$10)-F92-MAX(0,-E97)*IFERROR(SUMPRODUCT('2. Investicijos'!$N$5:$N$10,'2. Investicijos'!$O$5:$O$10/100)/SUM('2. Investicijos'!$N$5:$N$10),0)</f>
        <v>#VALUE!</v>
      </c>
      <c r="G97" s="62" t="e" cm="1">
        <f t="array" ref="G97">F97+('3. Finansinės prielaidos'!G31-'3. Finansinės prielaidos'!F31)+G94+G91+SUMPRODUCT('4. Metinis CAPEX'!J$9:J$14,IFERROR(('2. Investicijos'!$I$5:$I$10+'2. Investicijos'!$J$5:$J$10+'2. Investicijos'!$K$5:$K$10+'2. Investicijos'!$L$5:$L$10)/'2. Investicijos'!$H$5:$H$10,0))-G90-SUM(T$5:T$10)-G92-MAX(0,-F97)*IFERROR(SUMPRODUCT('2. Investicijos'!$N$5:$N$10,'2. Investicijos'!$O$5:$O$10/100)/SUM('2. Investicijos'!$N$5:$N$10),0)</f>
        <v>#VALUE!</v>
      </c>
      <c r="H97" s="62" t="e" cm="1">
        <f t="array" ref="H97">G97+('3. Finansinės prielaidos'!H31-'3. Finansinės prielaidos'!G31)+H94+H91+SUMPRODUCT('4. Metinis CAPEX'!K$9:K$14,IFERROR(('2. Investicijos'!$I$5:$I$10+'2. Investicijos'!$J$5:$J$10+'2. Investicijos'!$K$5:$K$10+'2. Investicijos'!$L$5:$L$10)/'2. Investicijos'!$H$5:$H$10,0))-H90-SUM(U$5:U$10)-H92-MAX(0,-G97)*IFERROR(SUMPRODUCT('2. Investicijos'!$N$5:$N$10,'2. Investicijos'!$O$5:$O$10/100)/SUM('2. Investicijos'!$N$5:$N$10),0)</f>
        <v>#VALUE!</v>
      </c>
      <c r="I97" s="62" t="e" cm="1">
        <f t="array" ref="I97">H97+('3. Finansinės prielaidos'!I31-'3. Finansinės prielaidos'!H31)+I94+I91+SUMPRODUCT('4. Metinis CAPEX'!L$9:L$14,IFERROR(('2. Investicijos'!$I$5:$I$10+'2. Investicijos'!$J$5:$J$10+'2. Investicijos'!$K$5:$K$10+'2. Investicijos'!$L$5:$L$10)/'2. Investicijos'!$H$5:$H$10,0))-I90-SUM(V$5:V$10)-I92-MAX(0,-H97)*IFERROR(SUMPRODUCT('2. Investicijos'!$N$5:$N$10,'2. Investicijos'!$O$5:$O$10/100)/SUM('2. Investicijos'!$N$5:$N$10),0)</f>
        <v>#VALUE!</v>
      </c>
      <c r="J97" s="62" t="e" cm="1">
        <f t="array" ref="J97">I97+('3. Finansinės prielaidos'!J31-'3. Finansinės prielaidos'!I31)+J94+J91+SUMPRODUCT('4. Metinis CAPEX'!M$9:M$14,IFERROR(('2. Investicijos'!$I$5:$I$10+'2. Investicijos'!$J$5:$J$10+'2. Investicijos'!$K$5:$K$10+'2. Investicijos'!$L$5:$L$10)/'2. Investicijos'!$H$5:$H$10,0))-J90-SUM(W$5:W$10)-J92-MAX(0,-I97)*IFERROR(SUMPRODUCT('2. Investicijos'!$N$5:$N$10,'2. Investicijos'!$O$5:$O$10/100)/SUM('2. Investicijos'!$N$5:$N$10),0)</f>
        <v>#VALUE!</v>
      </c>
      <c r="K97" s="62" t="e" cm="1">
        <f t="array" ref="K97">J97+('3. Finansinės prielaidos'!K31-'3. Finansinės prielaidos'!J31)+K94+K91+SUMPRODUCT('4. Metinis CAPEX'!N$9:N$14,IFERROR(('2. Investicijos'!$I$5:$I$10+'2. Investicijos'!$J$5:$J$10+'2. Investicijos'!$K$5:$K$10+'2. Investicijos'!$L$5:$L$10)/'2. Investicijos'!$H$5:$H$10,0))-K90-SUM(X$5:X$10)-K92-MAX(0,-J97)*IFERROR(SUMPRODUCT('2. Investicijos'!$N$5:$N$10,'2. Investicijos'!$O$5:$O$10/100)/SUM('2. Investicijos'!$N$5:$N$10),0)</f>
        <v>#VALUE!</v>
      </c>
      <c r="L97" s="62" t="e" cm="1">
        <f t="array" ref="L97">K97+('3. Finansinės prielaidos'!L31-'3. Finansinės prielaidos'!K31)+L94+L91+SUMPRODUCT('4. Metinis CAPEX'!O$9:O$14,IFERROR(('2. Investicijos'!$I$5:$I$10+'2. Investicijos'!$J$5:$J$10+'2. Investicijos'!$K$5:$K$10+'2. Investicijos'!$L$5:$L$10)/'2. Investicijos'!$H$5:$H$10,0))-L90-SUM(Y$5:Y$10)-L92-MAX(0,-K97)*IFERROR(SUMPRODUCT('2. Investicijos'!$N$5:$N$10,'2. Investicijos'!$O$5:$O$10/100)/SUM('2. Investicijos'!$N$5:$N$10),0)</f>
        <v>#VALUE!</v>
      </c>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row>
    <row r="98" spans="1:45">
      <c r="A98" s="57">
        <v>6</v>
      </c>
      <c r="B98" s="57" t="s">
        <v>23</v>
      </c>
      <c r="C98" s="62" t="e">
        <f t="shared" ref="C98:L98" si="63">IF(OR(C95="",C96="",C97="",C95&lt;=0),"",(C96-C97)/C95)</f>
        <v>#VALUE!</v>
      </c>
      <c r="D98" s="62" t="e">
        <f t="shared" si="63"/>
        <v>#VALUE!</v>
      </c>
      <c r="E98" s="62" t="e">
        <f t="shared" si="63"/>
        <v>#VALUE!</v>
      </c>
      <c r="F98" s="62" t="e">
        <f t="shared" si="63"/>
        <v>#VALUE!</v>
      </c>
      <c r="G98" s="62" t="e">
        <f t="shared" si="63"/>
        <v>#VALUE!</v>
      </c>
      <c r="H98" s="62" t="e">
        <f t="shared" si="63"/>
        <v>#VALUE!</v>
      </c>
      <c r="I98" s="62" t="e">
        <f t="shared" si="63"/>
        <v>#VALUE!</v>
      </c>
      <c r="J98" s="62" t="e">
        <f t="shared" si="63"/>
        <v>#VALUE!</v>
      </c>
      <c r="K98" s="62" t="e">
        <f t="shared" si="63"/>
        <v>#VALUE!</v>
      </c>
      <c r="L98" s="62" t="e">
        <f t="shared" si="63"/>
        <v>#VALUE!</v>
      </c>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row>
    <row r="99" spans="1:45">
      <c r="A99" s="57">
        <v>6</v>
      </c>
      <c r="B99" s="57" t="s">
        <v>24</v>
      </c>
      <c r="C99" s="62" t="e">
        <f>IF(OR(C95="",C95&lt;=0,'3. Finansinės prielaidos'!C32=""),"",IF('3. Finansinės prielaidos'!C32+SUM(P$5:P$10)+C92+0=0,999999,C95/('3. Finansinės prielaidos'!C32+SUM(P$5:P$10)+C92+0)))</f>
        <v>#VALUE!</v>
      </c>
      <c r="D99" s="62" t="e" cm="1">
        <f t="array" ref="D99">IF(OR(D95="",D95&lt;=0,'3. Finansinės prielaidos'!D32=""),"",IF('3. Finansinės prielaidos'!D32+SUM(Q$5:Q$10)+D92+MAX(0,-C97)*IFERROR(SUMPRODUCT('2. Investicijos'!$N$5:$N$10,'2. Investicijos'!$O$5:$O$10/100)/SUM('2. Investicijos'!$N$5:$N$10),0)=0,999999,D95/('3. Finansinės prielaidos'!D32+SUM(Q$5:Q$10)+D92+MAX(0,-C97)*IFERROR(SUMPRODUCT('2. Investicijos'!$N$5:$N$10,'2. Investicijos'!$O$5:$O$10/100)/SUM('2. Investicijos'!$N$5:$N$10),0))))</f>
        <v>#VALUE!</v>
      </c>
      <c r="E99" s="62" t="e" cm="1">
        <f t="array" ref="E99">IF(OR(E95="",E95&lt;=0,'3. Finansinės prielaidos'!E32=""),"",IF('3. Finansinės prielaidos'!E32+SUM(R$5:R$10)+E92+MAX(0,-D97)*IFERROR(SUMPRODUCT('2. Investicijos'!$N$5:$N$10,'2. Investicijos'!$O$5:$O$10/100)/SUM('2. Investicijos'!$N$5:$N$10),0)=0,999999,E95/('3. Finansinės prielaidos'!E32+SUM(R$5:R$10)+E92+MAX(0,-D97)*IFERROR(SUMPRODUCT('2. Investicijos'!$N$5:$N$10,'2. Investicijos'!$O$5:$O$10/100)/SUM('2. Investicijos'!$N$5:$N$10),0))))</f>
        <v>#VALUE!</v>
      </c>
      <c r="F99" s="62" t="e" cm="1">
        <f t="array" ref="F99">IF(OR(F95="",F95&lt;=0,'3. Finansinės prielaidos'!F32=""),"",IF('3. Finansinės prielaidos'!F32+SUM(S$5:S$10)+F92+MAX(0,-E97)*IFERROR(SUMPRODUCT('2. Investicijos'!$N$5:$N$10,'2. Investicijos'!$O$5:$O$10/100)/SUM('2. Investicijos'!$N$5:$N$10),0)=0,999999,F95/('3. Finansinės prielaidos'!F32+SUM(S$5:S$10)+F92+MAX(0,-E97)*IFERROR(SUMPRODUCT('2. Investicijos'!$N$5:$N$10,'2. Investicijos'!$O$5:$O$10/100)/SUM('2. Investicijos'!$N$5:$N$10),0))))</f>
        <v>#VALUE!</v>
      </c>
      <c r="G99" s="62" t="e" cm="1">
        <f t="array" ref="G99">IF(OR(G95="",G95&lt;=0,'3. Finansinės prielaidos'!G32=""),"",IF('3. Finansinės prielaidos'!G32+SUM(T$5:T$10)+G92+MAX(0,-F97)*IFERROR(SUMPRODUCT('2. Investicijos'!$N$5:$N$10,'2. Investicijos'!$O$5:$O$10/100)/SUM('2. Investicijos'!$N$5:$N$10),0)=0,999999,G95/('3. Finansinės prielaidos'!G32+SUM(T$5:T$10)+G92+MAX(0,-F97)*IFERROR(SUMPRODUCT('2. Investicijos'!$N$5:$N$10,'2. Investicijos'!$O$5:$O$10/100)/SUM('2. Investicijos'!$N$5:$N$10),0))))</f>
        <v>#VALUE!</v>
      </c>
      <c r="H99" s="62" t="e" cm="1">
        <f t="array" ref="H99">IF(OR(H95="",H95&lt;=0,'3. Finansinės prielaidos'!H32=""),"",IF('3. Finansinės prielaidos'!H32+SUM(U$5:U$10)+H92+MAX(0,-G97)*IFERROR(SUMPRODUCT('2. Investicijos'!$N$5:$N$10,'2. Investicijos'!$O$5:$O$10/100)/SUM('2. Investicijos'!$N$5:$N$10),0)=0,999999,H95/('3. Finansinės prielaidos'!H32+SUM(U$5:U$10)+H92+MAX(0,-G97)*IFERROR(SUMPRODUCT('2. Investicijos'!$N$5:$N$10,'2. Investicijos'!$O$5:$O$10/100)/SUM('2. Investicijos'!$N$5:$N$10),0))))</f>
        <v>#VALUE!</v>
      </c>
      <c r="I99" s="62" t="e" cm="1">
        <f t="array" ref="I99">IF(OR(I95="",I95&lt;=0,'3. Finansinės prielaidos'!I32=""),"",IF('3. Finansinės prielaidos'!I32+SUM(V$5:V$10)+I92+MAX(0,-H97)*IFERROR(SUMPRODUCT('2. Investicijos'!$N$5:$N$10,'2. Investicijos'!$O$5:$O$10/100)/SUM('2. Investicijos'!$N$5:$N$10),0)=0,999999,I95/('3. Finansinės prielaidos'!I32+SUM(V$5:V$10)+I92+MAX(0,-H97)*IFERROR(SUMPRODUCT('2. Investicijos'!$N$5:$N$10,'2. Investicijos'!$O$5:$O$10/100)/SUM('2. Investicijos'!$N$5:$N$10),0))))</f>
        <v>#VALUE!</v>
      </c>
      <c r="J99" s="62" t="e" cm="1">
        <f t="array" ref="J99">IF(OR(J95="",J95&lt;=0,'3. Finansinės prielaidos'!J32=""),"",IF('3. Finansinės prielaidos'!J32+SUM(W$5:W$10)+J92+MAX(0,-I97)*IFERROR(SUMPRODUCT('2. Investicijos'!$N$5:$N$10,'2. Investicijos'!$O$5:$O$10/100)/SUM('2. Investicijos'!$N$5:$N$10),0)=0,999999,J95/('3. Finansinės prielaidos'!J32+SUM(W$5:W$10)+J92+MAX(0,-I97)*IFERROR(SUMPRODUCT('2. Investicijos'!$N$5:$N$10,'2. Investicijos'!$O$5:$O$10/100)/SUM('2. Investicijos'!$N$5:$N$10),0))))</f>
        <v>#VALUE!</v>
      </c>
      <c r="K99" s="62" t="e" cm="1">
        <f t="array" ref="K99">IF(OR(K95="",K95&lt;=0,'3. Finansinės prielaidos'!K32=""),"",IF('3. Finansinės prielaidos'!K32+SUM(X$5:X$10)+K92+MAX(0,-J97)*IFERROR(SUMPRODUCT('2. Investicijos'!$N$5:$N$10,'2. Investicijos'!$O$5:$O$10/100)/SUM('2. Investicijos'!$N$5:$N$10),0)=0,999999,K95/('3. Finansinės prielaidos'!K32+SUM(X$5:X$10)+K92+MAX(0,-J97)*IFERROR(SUMPRODUCT('2. Investicijos'!$N$5:$N$10,'2. Investicijos'!$O$5:$O$10/100)/SUM('2. Investicijos'!$N$5:$N$10),0))))</f>
        <v>#VALUE!</v>
      </c>
      <c r="L99" s="62" t="e" cm="1">
        <f t="array" ref="L99">IF(OR(L95="",L95&lt;=0,'3. Finansinės prielaidos'!L32=""),"",IF('3. Finansinės prielaidos'!L32+SUM(Y$5:Y$10)+L92+MAX(0,-K97)*IFERROR(SUMPRODUCT('2. Investicijos'!$N$5:$N$10,'2. Investicijos'!$O$5:$O$10/100)/SUM('2. Investicijos'!$N$5:$N$10),0)=0,999999,L95/('3. Finansinės prielaidos'!L32+SUM(Y$5:Y$10)+L92+MAX(0,-K97)*IFERROR(SUMPRODUCT('2. Investicijos'!$N$5:$N$10,'2. Investicijos'!$O$5:$O$10/100)/SUM('2. Investicijos'!$N$5:$N$10),0))))</f>
        <v>#VALUE!</v>
      </c>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row>
    <row r="100" spans="1:45">
      <c r="A100" s="57">
        <v>7</v>
      </c>
      <c r="B100" s="57" t="s">
        <v>58</v>
      </c>
      <c r="C100" s="62">
        <f>SUM('4. Metinis CAPEX'!F$9:F$15)</f>
        <v>0</v>
      </c>
      <c r="D100" s="62">
        <f>SUM('4. Metinis CAPEX'!G$9:G$15)</f>
        <v>0</v>
      </c>
      <c r="E100" s="62">
        <f>SUM('4. Metinis CAPEX'!H$9:H$15)</f>
        <v>0</v>
      </c>
      <c r="F100" s="62">
        <f>SUM('4. Metinis CAPEX'!I$9:I$15)</f>
        <v>0</v>
      </c>
      <c r="G100" s="62">
        <f>SUM('4. Metinis CAPEX'!J$9:J$15)</f>
        <v>0</v>
      </c>
      <c r="H100" s="62">
        <f>SUM('4. Metinis CAPEX'!K$9:K$15)</f>
        <v>0</v>
      </c>
      <c r="I100" s="62">
        <f>SUM('4. Metinis CAPEX'!L$9:L$15)</f>
        <v>0</v>
      </c>
      <c r="J100" s="62">
        <f>SUM('4. Metinis CAPEX'!M$9:M$15)</f>
        <v>0</v>
      </c>
      <c r="K100" s="62">
        <f>SUM('4. Metinis CAPEX'!N$9:N$15)</f>
        <v>0</v>
      </c>
      <c r="L100" s="62">
        <f>SUM('4. Metinis CAPEX'!O$9:O$15)</f>
        <v>0</v>
      </c>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row>
    <row r="101" spans="1:45">
      <c r="A101" s="57">
        <v>7</v>
      </c>
      <c r="B101" s="57" t="s">
        <v>59</v>
      </c>
      <c r="C101" s="62">
        <f t="shared" ref="C101:L101" si="64">SUM(F$5:F$11)</f>
        <v>0</v>
      </c>
      <c r="D101" s="62">
        <f t="shared" si="64"/>
        <v>0</v>
      </c>
      <c r="E101" s="62">
        <f t="shared" si="64"/>
        <v>0</v>
      </c>
      <c r="F101" s="62">
        <f t="shared" si="64"/>
        <v>0</v>
      </c>
      <c r="G101" s="62">
        <f t="shared" si="64"/>
        <v>0</v>
      </c>
      <c r="H101" s="62">
        <f t="shared" si="64"/>
        <v>0</v>
      </c>
      <c r="I101" s="62">
        <f t="shared" si="64"/>
        <v>0</v>
      </c>
      <c r="J101" s="62">
        <f t="shared" si="64"/>
        <v>0</v>
      </c>
      <c r="K101" s="62">
        <f t="shared" si="64"/>
        <v>0</v>
      </c>
      <c r="L101" s="62">
        <f t="shared" si="64"/>
        <v>0</v>
      </c>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row>
    <row r="102" spans="1:45">
      <c r="A102" s="57">
        <v>7</v>
      </c>
      <c r="B102" s="57" t="s">
        <v>60</v>
      </c>
      <c r="C102" s="62">
        <f t="shared" ref="C102:L102" si="65">SUM(Z$5:Z$11)</f>
        <v>0</v>
      </c>
      <c r="D102" s="62">
        <f t="shared" si="65"/>
        <v>0</v>
      </c>
      <c r="E102" s="62">
        <f t="shared" si="65"/>
        <v>0</v>
      </c>
      <c r="F102" s="62">
        <f t="shared" si="65"/>
        <v>0</v>
      </c>
      <c r="G102" s="62">
        <f t="shared" si="65"/>
        <v>0</v>
      </c>
      <c r="H102" s="62">
        <f t="shared" si="65"/>
        <v>0</v>
      </c>
      <c r="I102" s="62">
        <f t="shared" si="65"/>
        <v>0</v>
      </c>
      <c r="J102" s="62">
        <f t="shared" si="65"/>
        <v>0</v>
      </c>
      <c r="K102" s="62">
        <f t="shared" si="65"/>
        <v>0</v>
      </c>
      <c r="L102" s="62">
        <f t="shared" si="65"/>
        <v>0</v>
      </c>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row>
    <row r="103" spans="1:45">
      <c r="A103" s="57">
        <v>7</v>
      </c>
      <c r="B103" s="57" t="s">
        <v>61</v>
      </c>
      <c r="C103" s="62">
        <f t="shared" ref="C103:L103" si="66">SUM(AJ$5:AJ$11)</f>
        <v>0</v>
      </c>
      <c r="D103" s="62">
        <f t="shared" si="66"/>
        <v>0</v>
      </c>
      <c r="E103" s="62">
        <f t="shared" si="66"/>
        <v>0</v>
      </c>
      <c r="F103" s="62">
        <f t="shared" si="66"/>
        <v>0</v>
      </c>
      <c r="G103" s="62">
        <f t="shared" si="66"/>
        <v>0</v>
      </c>
      <c r="H103" s="62">
        <f t="shared" si="66"/>
        <v>0</v>
      </c>
      <c r="I103" s="62">
        <f t="shared" si="66"/>
        <v>0</v>
      </c>
      <c r="J103" s="62">
        <f t="shared" si="66"/>
        <v>0</v>
      </c>
      <c r="K103" s="62">
        <f t="shared" si="66"/>
        <v>0</v>
      </c>
      <c r="L103" s="62">
        <f t="shared" si="66"/>
        <v>0</v>
      </c>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row>
    <row r="104" spans="1:45">
      <c r="A104" s="57">
        <v>7</v>
      </c>
      <c r="B104" s="57" t="s">
        <v>155</v>
      </c>
      <c r="C104" s="62" t="e" cm="1">
        <f t="array" ref="C104">SUMPRODUCT(--(2026&gt;'2. Investicijos'!$F$5:$F$11),--(2026&lt;='2. Investicijos'!$F$5:$F$11+'2. Investicijos'!$G$5:$G$11),IFERROR(('2. Investicijos'!$M$5:$M$11+'2. Investicijos'!$N$5:$N$11)/'2. Investicijos'!$G$5:$G$11,0))+SUMPRODUCT(--(2026&gt;'2. Investicijos'!$F$5:$F$11),--(2026&lt;='2. Investicijos'!$F$5:$F$11+'2. Investicijos'!$G$5:$G$11),IFERROR(('2. Investicijos'!$M$5:$M$11+'2. Investicijos'!$N$5:$N$11)*(1-((2026-'2. Investicijos'!$F$5:$F$11)-1)/'2. Investicijos'!$G$5:$G$11),0)*'5. 0% scenarijus'!$C$5)</f>
        <v>#VALUE!</v>
      </c>
      <c r="D104" s="62" t="e" cm="1">
        <f t="array" ref="D104">SUMPRODUCT(--(2027&gt;'2. Investicijos'!$F$5:$F$11),--(2027&lt;='2. Investicijos'!$F$5:$F$11+'2. Investicijos'!$G$5:$G$11),IFERROR(('2. Investicijos'!$M$5:$M$11+'2. Investicijos'!$N$5:$N$11)/'2. Investicijos'!$G$5:$G$11,0))+SUMPRODUCT(--(2027&gt;'2. Investicijos'!$F$5:$F$11),--(2027&lt;='2. Investicijos'!$F$5:$F$11+'2. Investicijos'!$G$5:$G$11),IFERROR(('2. Investicijos'!$M$5:$M$11+'2. Investicijos'!$N$5:$N$11)*(1-((2027-'2. Investicijos'!$F$5:$F$11)-1)/'2. Investicijos'!$G$5:$G$11),0)*'5. 0% scenarijus'!$C$5)</f>
        <v>#VALUE!</v>
      </c>
      <c r="E104" s="62" t="e" cm="1">
        <f t="array" ref="E104">SUMPRODUCT(--(2028&gt;'2. Investicijos'!$F$5:$F$11),--(2028&lt;='2. Investicijos'!$F$5:$F$11+'2. Investicijos'!$G$5:$G$11),IFERROR(('2. Investicijos'!$M$5:$M$11+'2. Investicijos'!$N$5:$N$11)/'2. Investicijos'!$G$5:$G$11,0))+SUMPRODUCT(--(2028&gt;'2. Investicijos'!$F$5:$F$11),--(2028&lt;='2. Investicijos'!$F$5:$F$11+'2. Investicijos'!$G$5:$G$11),IFERROR(('2. Investicijos'!$M$5:$M$11+'2. Investicijos'!$N$5:$N$11)*(1-((2028-'2. Investicijos'!$F$5:$F$11)-1)/'2. Investicijos'!$G$5:$G$11),0)*'5. 0% scenarijus'!$C$5)</f>
        <v>#VALUE!</v>
      </c>
      <c r="F104" s="62" t="e" cm="1">
        <f t="array" ref="F104">SUMPRODUCT(--(2029&gt;'2. Investicijos'!$F$5:$F$11),--(2029&lt;='2. Investicijos'!$F$5:$F$11+'2. Investicijos'!$G$5:$G$11),IFERROR(('2. Investicijos'!$M$5:$M$11+'2. Investicijos'!$N$5:$N$11)/'2. Investicijos'!$G$5:$G$11,0))+SUMPRODUCT(--(2029&gt;'2. Investicijos'!$F$5:$F$11),--(2029&lt;='2. Investicijos'!$F$5:$F$11+'2. Investicijos'!$G$5:$G$11),IFERROR(('2. Investicijos'!$M$5:$M$11+'2. Investicijos'!$N$5:$N$11)*(1-((2029-'2. Investicijos'!$F$5:$F$11)-1)/'2. Investicijos'!$G$5:$G$11),0)*'5. 0% scenarijus'!$C$5)</f>
        <v>#VALUE!</v>
      </c>
      <c r="G104" s="62" t="e" cm="1">
        <f t="array" ref="G104">SUMPRODUCT(--(2030&gt;'2. Investicijos'!$F$5:$F$11),--(2030&lt;='2. Investicijos'!$F$5:$F$11+'2. Investicijos'!$G$5:$G$11),IFERROR(('2. Investicijos'!$M$5:$M$11+'2. Investicijos'!$N$5:$N$11)/'2. Investicijos'!$G$5:$G$11,0))+SUMPRODUCT(--(2030&gt;'2. Investicijos'!$F$5:$F$11),--(2030&lt;='2. Investicijos'!$F$5:$F$11+'2. Investicijos'!$G$5:$G$11),IFERROR(('2. Investicijos'!$M$5:$M$11+'2. Investicijos'!$N$5:$N$11)*(1-((2030-'2. Investicijos'!$F$5:$F$11)-1)/'2. Investicijos'!$G$5:$G$11),0)*'5. 0% scenarijus'!$C$5)</f>
        <v>#VALUE!</v>
      </c>
      <c r="H104" s="62" t="e" cm="1">
        <f t="array" ref="H104">SUMPRODUCT(--(2031&gt;'2. Investicijos'!$F$5:$F$11),--(2031&lt;='2. Investicijos'!$F$5:$F$11+'2. Investicijos'!$G$5:$G$11),IFERROR(('2. Investicijos'!$M$5:$M$11+'2. Investicijos'!$N$5:$N$11)/'2. Investicijos'!$G$5:$G$11,0))+SUMPRODUCT(--(2031&gt;'2. Investicijos'!$F$5:$F$11),--(2031&lt;='2. Investicijos'!$F$5:$F$11+'2. Investicijos'!$G$5:$G$11),IFERROR(('2. Investicijos'!$M$5:$M$11+'2. Investicijos'!$N$5:$N$11)*(1-((2031-'2. Investicijos'!$F$5:$F$11)-1)/'2. Investicijos'!$G$5:$G$11),0)*'5. 0% scenarijus'!$C$5)</f>
        <v>#VALUE!</v>
      </c>
      <c r="I104" s="62" t="e" cm="1">
        <f t="array" ref="I104">SUMPRODUCT(--(2032&gt;'2. Investicijos'!$F$5:$F$11),--(2032&lt;='2. Investicijos'!$F$5:$F$11+'2. Investicijos'!$G$5:$G$11),IFERROR(('2. Investicijos'!$M$5:$M$11+'2. Investicijos'!$N$5:$N$11)/'2. Investicijos'!$G$5:$G$11,0))+SUMPRODUCT(--(2032&gt;'2. Investicijos'!$F$5:$F$11),--(2032&lt;='2. Investicijos'!$F$5:$F$11+'2. Investicijos'!$G$5:$G$11),IFERROR(('2. Investicijos'!$M$5:$M$11+'2. Investicijos'!$N$5:$N$11)*(1-((2032-'2. Investicijos'!$F$5:$F$11)-1)/'2. Investicijos'!$G$5:$G$11),0)*'5. 0% scenarijus'!$C$5)</f>
        <v>#VALUE!</v>
      </c>
      <c r="J104" s="62" t="e" cm="1">
        <f t="array" ref="J104">SUMPRODUCT(--(2033&gt;'2. Investicijos'!$F$5:$F$11),--(2033&lt;='2. Investicijos'!$F$5:$F$11+'2. Investicijos'!$G$5:$G$11),IFERROR(('2. Investicijos'!$M$5:$M$11+'2. Investicijos'!$N$5:$N$11)/'2. Investicijos'!$G$5:$G$11,0))+SUMPRODUCT(--(2033&gt;'2. Investicijos'!$F$5:$F$11),--(2033&lt;='2. Investicijos'!$F$5:$F$11+'2. Investicijos'!$G$5:$G$11),IFERROR(('2. Investicijos'!$M$5:$M$11+'2. Investicijos'!$N$5:$N$11)*(1-((2033-'2. Investicijos'!$F$5:$F$11)-1)/'2. Investicijos'!$G$5:$G$11),0)*'5. 0% scenarijus'!$C$5)</f>
        <v>#VALUE!</v>
      </c>
      <c r="K104" s="62" t="e" cm="1">
        <f t="array" ref="K104">SUMPRODUCT(--(2034&gt;'2. Investicijos'!$F$5:$F$11),--(2034&lt;='2. Investicijos'!$F$5:$F$11+'2. Investicijos'!$G$5:$G$11),IFERROR(('2. Investicijos'!$M$5:$M$11+'2. Investicijos'!$N$5:$N$11)/'2. Investicijos'!$G$5:$G$11,0))+SUMPRODUCT(--(2034&gt;'2. Investicijos'!$F$5:$F$11),--(2034&lt;='2. Investicijos'!$F$5:$F$11+'2. Investicijos'!$G$5:$G$11),IFERROR(('2. Investicijos'!$M$5:$M$11+'2. Investicijos'!$N$5:$N$11)*(1-((2034-'2. Investicijos'!$F$5:$F$11)-1)/'2. Investicijos'!$G$5:$G$11),0)*'5. 0% scenarijus'!$C$5)</f>
        <v>#VALUE!</v>
      </c>
      <c r="L104" s="62" t="e" cm="1">
        <f t="array" ref="L104">SUMPRODUCT(--(2035&gt;'2. Investicijos'!$F$5:$F$11),--(2035&lt;='2. Investicijos'!$F$5:$F$11+'2. Investicijos'!$G$5:$G$11),IFERROR(('2. Investicijos'!$M$5:$M$11+'2. Investicijos'!$N$5:$N$11)/'2. Investicijos'!$G$5:$G$11,0))+SUMPRODUCT(--(2035&gt;'2. Investicijos'!$F$5:$F$11),--(2035&lt;='2. Investicijos'!$F$5:$F$11+'2. Investicijos'!$G$5:$G$11),IFERROR(('2. Investicijos'!$M$5:$M$11+'2. Investicijos'!$N$5:$N$11)*(1-((2035-'2. Investicijos'!$F$5:$F$11)-1)/'2. Investicijos'!$G$5:$G$11),0)*'5. 0% scenarijus'!$C$5)</f>
        <v>#VALUE!</v>
      </c>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row>
    <row r="105" spans="1:45">
      <c r="A105" s="57">
        <v>7</v>
      </c>
      <c r="B105" s="57" t="s">
        <v>62</v>
      </c>
      <c r="C105" s="62" t="e">
        <f>'3. Finansinės prielaidos'!C29+C104</f>
        <v>#VALUE!</v>
      </c>
      <c r="D105" s="62" t="e">
        <f>'3. Finansinės prielaidos'!D29+D104</f>
        <v>#VALUE!</v>
      </c>
      <c r="E105" s="62" t="e">
        <f>'3. Finansinės prielaidos'!E29+E104</f>
        <v>#VALUE!</v>
      </c>
      <c r="F105" s="62" t="e">
        <f>'3. Finansinės prielaidos'!F29+F104</f>
        <v>#VALUE!</v>
      </c>
      <c r="G105" s="62" t="e">
        <f>'3. Finansinės prielaidos'!G29+G104</f>
        <v>#VALUE!</v>
      </c>
      <c r="H105" s="62" t="e">
        <f>'3. Finansinės prielaidos'!H29+H104</f>
        <v>#VALUE!</v>
      </c>
      <c r="I105" s="62" t="e">
        <f>'3. Finansinės prielaidos'!I29+I104</f>
        <v>#VALUE!</v>
      </c>
      <c r="J105" s="62" t="e">
        <f>'3. Finansinės prielaidos'!J29+J104</f>
        <v>#VALUE!</v>
      </c>
      <c r="K105" s="62" t="e">
        <f>'3. Finansinės prielaidos'!K29+K104</f>
        <v>#VALUE!</v>
      </c>
      <c r="L105" s="62" t="e">
        <f>'3. Finansinės prielaidos'!L29+L104</f>
        <v>#VALUE!</v>
      </c>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row>
    <row r="106" spans="1:45">
      <c r="A106" s="57">
        <v>7</v>
      </c>
      <c r="B106" s="57" t="s">
        <v>159</v>
      </c>
      <c r="C106" s="62">
        <f>'3. Finansinės prielaidos'!C30+C103</f>
        <v>0</v>
      </c>
      <c r="D106" s="62">
        <f>'3. Finansinės prielaidos'!D30+D103</f>
        <v>0</v>
      </c>
      <c r="E106" s="62">
        <f>'3. Finansinės prielaidos'!E30+E103</f>
        <v>0</v>
      </c>
      <c r="F106" s="62">
        <f>'3. Finansinės prielaidos'!F30+F103</f>
        <v>0</v>
      </c>
      <c r="G106" s="62">
        <f>'3. Finansinės prielaidos'!G30+G103</f>
        <v>0</v>
      </c>
      <c r="H106" s="62">
        <f>'3. Finansinės prielaidos'!H30+H103</f>
        <v>0</v>
      </c>
      <c r="I106" s="62">
        <f>'3. Finansinės prielaidos'!I30+I103</f>
        <v>0</v>
      </c>
      <c r="J106" s="62">
        <f>'3. Finansinės prielaidos'!J30+J103</f>
        <v>0</v>
      </c>
      <c r="K106" s="62">
        <f>'3. Finansinės prielaidos'!K30+K103</f>
        <v>0</v>
      </c>
      <c r="L106" s="62">
        <f>'3. Finansinės prielaidos'!L30+L103</f>
        <v>0</v>
      </c>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row>
    <row r="107" spans="1:45">
      <c r="A107" s="57">
        <v>7</v>
      </c>
      <c r="B107" s="57" t="s">
        <v>160</v>
      </c>
      <c r="C107" s="62" t="e" cm="1">
        <f t="array" ref="C107">'3. Finansinės prielaidos'!C31+C104+C101+SUMPRODUCT('4. Metinis CAPEX'!F$9:F$15,IFERROR(('2. Investicijos'!$I$5:$I$11+'2. Investicijos'!$J$5:$J$11+'2. Investicijos'!$K$5:$K$11+'2. Investicijos'!$L$5:$L$11)/'2. Investicijos'!$H$5:$H$11,0))-C100-SUM(P$5:P$11)-C102-0</f>
        <v>#VALUE!</v>
      </c>
      <c r="D107" s="62" t="e" cm="1">
        <f t="array" ref="D107">C107+('3. Finansinės prielaidos'!D31-'3. Finansinės prielaidos'!C31)+D104+D101+SUMPRODUCT('4. Metinis CAPEX'!G$9:G$15,IFERROR(('2. Investicijos'!$I$5:$I$11+'2. Investicijos'!$J$5:$J$11+'2. Investicijos'!$K$5:$K$11+'2. Investicijos'!$L$5:$L$11)/'2. Investicijos'!$H$5:$H$11,0))-D100-SUM(Q$5:Q$11)-D102-MAX(0,-C107)*IFERROR(SUMPRODUCT('2. Investicijos'!$N$5:$N$11,'2. Investicijos'!$O$5:$O$11/100)/SUM('2. Investicijos'!$N$5:$N$11),0)</f>
        <v>#VALUE!</v>
      </c>
      <c r="E107" s="62" t="e" cm="1">
        <f t="array" ref="E107">D107+('3. Finansinės prielaidos'!E31-'3. Finansinės prielaidos'!D31)+E104+E101+SUMPRODUCT('4. Metinis CAPEX'!H$9:H$15,IFERROR(('2. Investicijos'!$I$5:$I$11+'2. Investicijos'!$J$5:$J$11+'2. Investicijos'!$K$5:$K$11+'2. Investicijos'!$L$5:$L$11)/'2. Investicijos'!$H$5:$H$11,0))-E100-SUM(R$5:R$11)-E102-MAX(0,-D107)*IFERROR(SUMPRODUCT('2. Investicijos'!$N$5:$N$11,'2. Investicijos'!$O$5:$O$11/100)/SUM('2. Investicijos'!$N$5:$N$11),0)</f>
        <v>#VALUE!</v>
      </c>
      <c r="F107" s="62" t="e" cm="1">
        <f t="array" ref="F107">E107+('3. Finansinės prielaidos'!F31-'3. Finansinės prielaidos'!E31)+F104+F101+SUMPRODUCT('4. Metinis CAPEX'!I$9:I$15,IFERROR(('2. Investicijos'!$I$5:$I$11+'2. Investicijos'!$J$5:$J$11+'2. Investicijos'!$K$5:$K$11+'2. Investicijos'!$L$5:$L$11)/'2. Investicijos'!$H$5:$H$11,0))-F100-SUM(S$5:S$11)-F102-MAX(0,-E107)*IFERROR(SUMPRODUCT('2. Investicijos'!$N$5:$N$11,'2. Investicijos'!$O$5:$O$11/100)/SUM('2. Investicijos'!$N$5:$N$11),0)</f>
        <v>#VALUE!</v>
      </c>
      <c r="G107" s="62" t="e" cm="1">
        <f t="array" ref="G107">F107+('3. Finansinės prielaidos'!G31-'3. Finansinės prielaidos'!F31)+G104+G101+SUMPRODUCT('4. Metinis CAPEX'!J$9:J$15,IFERROR(('2. Investicijos'!$I$5:$I$11+'2. Investicijos'!$J$5:$J$11+'2. Investicijos'!$K$5:$K$11+'2. Investicijos'!$L$5:$L$11)/'2. Investicijos'!$H$5:$H$11,0))-G100-SUM(T$5:T$11)-G102-MAX(0,-F107)*IFERROR(SUMPRODUCT('2. Investicijos'!$N$5:$N$11,'2. Investicijos'!$O$5:$O$11/100)/SUM('2. Investicijos'!$N$5:$N$11),0)</f>
        <v>#VALUE!</v>
      </c>
      <c r="H107" s="62" t="e" cm="1">
        <f t="array" ref="H107">G107+('3. Finansinės prielaidos'!H31-'3. Finansinės prielaidos'!G31)+H104+H101+SUMPRODUCT('4. Metinis CAPEX'!K$9:K$15,IFERROR(('2. Investicijos'!$I$5:$I$11+'2. Investicijos'!$J$5:$J$11+'2. Investicijos'!$K$5:$K$11+'2. Investicijos'!$L$5:$L$11)/'2. Investicijos'!$H$5:$H$11,0))-H100-SUM(U$5:U$11)-H102-MAX(0,-G107)*IFERROR(SUMPRODUCT('2. Investicijos'!$N$5:$N$11,'2. Investicijos'!$O$5:$O$11/100)/SUM('2. Investicijos'!$N$5:$N$11),0)</f>
        <v>#VALUE!</v>
      </c>
      <c r="I107" s="62" t="e" cm="1">
        <f t="array" ref="I107">H107+('3. Finansinės prielaidos'!I31-'3. Finansinės prielaidos'!H31)+I104+I101+SUMPRODUCT('4. Metinis CAPEX'!L$9:L$15,IFERROR(('2. Investicijos'!$I$5:$I$11+'2. Investicijos'!$J$5:$J$11+'2. Investicijos'!$K$5:$K$11+'2. Investicijos'!$L$5:$L$11)/'2. Investicijos'!$H$5:$H$11,0))-I100-SUM(V$5:V$11)-I102-MAX(0,-H107)*IFERROR(SUMPRODUCT('2. Investicijos'!$N$5:$N$11,'2. Investicijos'!$O$5:$O$11/100)/SUM('2. Investicijos'!$N$5:$N$11),0)</f>
        <v>#VALUE!</v>
      </c>
      <c r="J107" s="62" t="e" cm="1">
        <f t="array" ref="J107">I107+('3. Finansinės prielaidos'!J31-'3. Finansinės prielaidos'!I31)+J104+J101+SUMPRODUCT('4. Metinis CAPEX'!M$9:M$15,IFERROR(('2. Investicijos'!$I$5:$I$11+'2. Investicijos'!$J$5:$J$11+'2. Investicijos'!$K$5:$K$11+'2. Investicijos'!$L$5:$L$11)/'2. Investicijos'!$H$5:$H$11,0))-J100-SUM(W$5:W$11)-J102-MAX(0,-I107)*IFERROR(SUMPRODUCT('2. Investicijos'!$N$5:$N$11,'2. Investicijos'!$O$5:$O$11/100)/SUM('2. Investicijos'!$N$5:$N$11),0)</f>
        <v>#VALUE!</v>
      </c>
      <c r="K107" s="62" t="e" cm="1">
        <f t="array" ref="K107">J107+('3. Finansinės prielaidos'!K31-'3. Finansinės prielaidos'!J31)+K104+K101+SUMPRODUCT('4. Metinis CAPEX'!N$9:N$15,IFERROR(('2. Investicijos'!$I$5:$I$11+'2. Investicijos'!$J$5:$J$11+'2. Investicijos'!$K$5:$K$11+'2. Investicijos'!$L$5:$L$11)/'2. Investicijos'!$H$5:$H$11,0))-K100-SUM(X$5:X$11)-K102-MAX(0,-J107)*IFERROR(SUMPRODUCT('2. Investicijos'!$N$5:$N$11,'2. Investicijos'!$O$5:$O$11/100)/SUM('2. Investicijos'!$N$5:$N$11),0)</f>
        <v>#VALUE!</v>
      </c>
      <c r="L107" s="62" t="e" cm="1">
        <f t="array" ref="L107">K107+('3. Finansinės prielaidos'!L31-'3. Finansinės prielaidos'!K31)+L104+L101+SUMPRODUCT('4. Metinis CAPEX'!O$9:O$15,IFERROR(('2. Investicijos'!$I$5:$I$11+'2. Investicijos'!$J$5:$J$11+'2. Investicijos'!$K$5:$K$11+'2. Investicijos'!$L$5:$L$11)/'2. Investicijos'!$H$5:$H$11,0))-L100-SUM(Y$5:Y$11)-L102-MAX(0,-K107)*IFERROR(SUMPRODUCT('2. Investicijos'!$N$5:$N$11,'2. Investicijos'!$O$5:$O$11/100)/SUM('2. Investicijos'!$N$5:$N$11),0)</f>
        <v>#VALUE!</v>
      </c>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row>
    <row r="108" spans="1:45">
      <c r="A108" s="57">
        <v>7</v>
      </c>
      <c r="B108" s="57" t="s">
        <v>23</v>
      </c>
      <c r="C108" s="62" t="e">
        <f t="shared" ref="C108:L108" si="67">IF(OR(C105="",C106="",C107="",C105&lt;=0),"",(C106-C107)/C105)</f>
        <v>#VALUE!</v>
      </c>
      <c r="D108" s="62" t="e">
        <f t="shared" si="67"/>
        <v>#VALUE!</v>
      </c>
      <c r="E108" s="62" t="e">
        <f t="shared" si="67"/>
        <v>#VALUE!</v>
      </c>
      <c r="F108" s="62" t="e">
        <f t="shared" si="67"/>
        <v>#VALUE!</v>
      </c>
      <c r="G108" s="62" t="e">
        <f t="shared" si="67"/>
        <v>#VALUE!</v>
      </c>
      <c r="H108" s="62" t="e">
        <f t="shared" si="67"/>
        <v>#VALUE!</v>
      </c>
      <c r="I108" s="62" t="e">
        <f t="shared" si="67"/>
        <v>#VALUE!</v>
      </c>
      <c r="J108" s="62" t="e">
        <f t="shared" si="67"/>
        <v>#VALUE!</v>
      </c>
      <c r="K108" s="62" t="e">
        <f t="shared" si="67"/>
        <v>#VALUE!</v>
      </c>
      <c r="L108" s="62" t="e">
        <f t="shared" si="67"/>
        <v>#VALUE!</v>
      </c>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row>
    <row r="109" spans="1:45">
      <c r="A109" s="57">
        <v>7</v>
      </c>
      <c r="B109" s="57" t="s">
        <v>24</v>
      </c>
      <c r="C109" s="62" t="e">
        <f>IF(OR(C105="",C105&lt;=0,'3. Finansinės prielaidos'!C32=""),"",IF('3. Finansinės prielaidos'!C32+SUM(P$5:P$11)+C102+0=0,999999,C105/('3. Finansinės prielaidos'!C32+SUM(P$5:P$11)+C102+0)))</f>
        <v>#VALUE!</v>
      </c>
      <c r="D109" s="62" t="e" cm="1">
        <f t="array" ref="D109">IF(OR(D105="",D105&lt;=0,'3. Finansinės prielaidos'!D32=""),"",IF('3. Finansinės prielaidos'!D32+SUM(Q$5:Q$11)+D102+MAX(0,-C107)*IFERROR(SUMPRODUCT('2. Investicijos'!$N$5:$N$11,'2. Investicijos'!$O$5:$O$11/100)/SUM('2. Investicijos'!$N$5:$N$11),0)=0,999999,D105/('3. Finansinės prielaidos'!D32+SUM(Q$5:Q$11)+D102+MAX(0,-C107)*IFERROR(SUMPRODUCT('2. Investicijos'!$N$5:$N$11,'2. Investicijos'!$O$5:$O$11/100)/SUM('2. Investicijos'!$N$5:$N$11),0))))</f>
        <v>#VALUE!</v>
      </c>
      <c r="E109" s="62" t="e" cm="1">
        <f t="array" ref="E109">IF(OR(E105="",E105&lt;=0,'3. Finansinės prielaidos'!E32=""),"",IF('3. Finansinės prielaidos'!E32+SUM(R$5:R$11)+E102+MAX(0,-D107)*IFERROR(SUMPRODUCT('2. Investicijos'!$N$5:$N$11,'2. Investicijos'!$O$5:$O$11/100)/SUM('2. Investicijos'!$N$5:$N$11),0)=0,999999,E105/('3. Finansinės prielaidos'!E32+SUM(R$5:R$11)+E102+MAX(0,-D107)*IFERROR(SUMPRODUCT('2. Investicijos'!$N$5:$N$11,'2. Investicijos'!$O$5:$O$11/100)/SUM('2. Investicijos'!$N$5:$N$11),0))))</f>
        <v>#VALUE!</v>
      </c>
      <c r="F109" s="62" t="e" cm="1">
        <f t="array" ref="F109">IF(OR(F105="",F105&lt;=0,'3. Finansinės prielaidos'!F32=""),"",IF('3. Finansinės prielaidos'!F32+SUM(S$5:S$11)+F102+MAX(0,-E107)*IFERROR(SUMPRODUCT('2. Investicijos'!$N$5:$N$11,'2. Investicijos'!$O$5:$O$11/100)/SUM('2. Investicijos'!$N$5:$N$11),0)=0,999999,F105/('3. Finansinės prielaidos'!F32+SUM(S$5:S$11)+F102+MAX(0,-E107)*IFERROR(SUMPRODUCT('2. Investicijos'!$N$5:$N$11,'2. Investicijos'!$O$5:$O$11/100)/SUM('2. Investicijos'!$N$5:$N$11),0))))</f>
        <v>#VALUE!</v>
      </c>
      <c r="G109" s="62" t="e" cm="1">
        <f t="array" ref="G109">IF(OR(G105="",G105&lt;=0,'3. Finansinės prielaidos'!G32=""),"",IF('3. Finansinės prielaidos'!G32+SUM(T$5:T$11)+G102+MAX(0,-F107)*IFERROR(SUMPRODUCT('2. Investicijos'!$N$5:$N$11,'2. Investicijos'!$O$5:$O$11/100)/SUM('2. Investicijos'!$N$5:$N$11),0)=0,999999,G105/('3. Finansinės prielaidos'!G32+SUM(T$5:T$11)+G102+MAX(0,-F107)*IFERROR(SUMPRODUCT('2. Investicijos'!$N$5:$N$11,'2. Investicijos'!$O$5:$O$11/100)/SUM('2. Investicijos'!$N$5:$N$11),0))))</f>
        <v>#VALUE!</v>
      </c>
      <c r="H109" s="62" t="e" cm="1">
        <f t="array" ref="H109">IF(OR(H105="",H105&lt;=0,'3. Finansinės prielaidos'!H32=""),"",IF('3. Finansinės prielaidos'!H32+SUM(U$5:U$11)+H102+MAX(0,-G107)*IFERROR(SUMPRODUCT('2. Investicijos'!$N$5:$N$11,'2. Investicijos'!$O$5:$O$11/100)/SUM('2. Investicijos'!$N$5:$N$11),0)=0,999999,H105/('3. Finansinės prielaidos'!H32+SUM(U$5:U$11)+H102+MAX(0,-G107)*IFERROR(SUMPRODUCT('2. Investicijos'!$N$5:$N$11,'2. Investicijos'!$O$5:$O$11/100)/SUM('2. Investicijos'!$N$5:$N$11),0))))</f>
        <v>#VALUE!</v>
      </c>
      <c r="I109" s="62" t="e" cm="1">
        <f t="array" ref="I109">IF(OR(I105="",I105&lt;=0,'3. Finansinės prielaidos'!I32=""),"",IF('3. Finansinės prielaidos'!I32+SUM(V$5:V$11)+I102+MAX(0,-H107)*IFERROR(SUMPRODUCT('2. Investicijos'!$N$5:$N$11,'2. Investicijos'!$O$5:$O$11/100)/SUM('2. Investicijos'!$N$5:$N$11),0)=0,999999,I105/('3. Finansinės prielaidos'!I32+SUM(V$5:V$11)+I102+MAX(0,-H107)*IFERROR(SUMPRODUCT('2. Investicijos'!$N$5:$N$11,'2. Investicijos'!$O$5:$O$11/100)/SUM('2. Investicijos'!$N$5:$N$11),0))))</f>
        <v>#VALUE!</v>
      </c>
      <c r="J109" s="62" t="e" cm="1">
        <f t="array" ref="J109">IF(OR(J105="",J105&lt;=0,'3. Finansinės prielaidos'!J32=""),"",IF('3. Finansinės prielaidos'!J32+SUM(W$5:W$11)+J102+MAX(0,-I107)*IFERROR(SUMPRODUCT('2. Investicijos'!$N$5:$N$11,'2. Investicijos'!$O$5:$O$11/100)/SUM('2. Investicijos'!$N$5:$N$11),0)=0,999999,J105/('3. Finansinės prielaidos'!J32+SUM(W$5:W$11)+J102+MAX(0,-I107)*IFERROR(SUMPRODUCT('2. Investicijos'!$N$5:$N$11,'2. Investicijos'!$O$5:$O$11/100)/SUM('2. Investicijos'!$N$5:$N$11),0))))</f>
        <v>#VALUE!</v>
      </c>
      <c r="K109" s="62" t="e" cm="1">
        <f t="array" ref="K109">IF(OR(K105="",K105&lt;=0,'3. Finansinės prielaidos'!K32=""),"",IF('3. Finansinės prielaidos'!K32+SUM(X$5:X$11)+K102+MAX(0,-J107)*IFERROR(SUMPRODUCT('2. Investicijos'!$N$5:$N$11,'2. Investicijos'!$O$5:$O$11/100)/SUM('2. Investicijos'!$N$5:$N$11),0)=0,999999,K105/('3. Finansinės prielaidos'!K32+SUM(X$5:X$11)+K102+MAX(0,-J107)*IFERROR(SUMPRODUCT('2. Investicijos'!$N$5:$N$11,'2. Investicijos'!$O$5:$O$11/100)/SUM('2. Investicijos'!$N$5:$N$11),0))))</f>
        <v>#VALUE!</v>
      </c>
      <c r="L109" s="62" t="e" cm="1">
        <f t="array" ref="L109">IF(OR(L105="",L105&lt;=0,'3. Finansinės prielaidos'!L32=""),"",IF('3. Finansinės prielaidos'!L32+SUM(Y$5:Y$11)+L102+MAX(0,-K107)*IFERROR(SUMPRODUCT('2. Investicijos'!$N$5:$N$11,'2. Investicijos'!$O$5:$O$11/100)/SUM('2. Investicijos'!$N$5:$N$11),0)=0,999999,L105/('3. Finansinės prielaidos'!L32+SUM(Y$5:Y$11)+L102+MAX(0,-K107)*IFERROR(SUMPRODUCT('2. Investicijos'!$N$5:$N$11,'2. Investicijos'!$O$5:$O$11/100)/SUM('2. Investicijos'!$N$5:$N$11),0))))</f>
        <v>#VALUE!</v>
      </c>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row>
    <row r="110" spans="1:45">
      <c r="A110" s="57">
        <v>8</v>
      </c>
      <c r="B110" s="57" t="s">
        <v>58</v>
      </c>
      <c r="C110" s="62">
        <f>SUM('4. Metinis CAPEX'!F$9:F$16)</f>
        <v>0</v>
      </c>
      <c r="D110" s="62">
        <f>SUM('4. Metinis CAPEX'!G$9:G$16)</f>
        <v>0</v>
      </c>
      <c r="E110" s="62">
        <f>SUM('4. Metinis CAPEX'!H$9:H$16)</f>
        <v>0</v>
      </c>
      <c r="F110" s="62">
        <f>SUM('4. Metinis CAPEX'!I$9:I$16)</f>
        <v>0</v>
      </c>
      <c r="G110" s="62">
        <f>SUM('4. Metinis CAPEX'!J$9:J$16)</f>
        <v>0</v>
      </c>
      <c r="H110" s="62">
        <f>SUM('4. Metinis CAPEX'!K$9:K$16)</f>
        <v>0</v>
      </c>
      <c r="I110" s="62">
        <f>SUM('4. Metinis CAPEX'!L$9:L$16)</f>
        <v>0</v>
      </c>
      <c r="J110" s="62">
        <f>SUM('4. Metinis CAPEX'!M$9:M$16)</f>
        <v>0</v>
      </c>
      <c r="K110" s="62">
        <f>SUM('4. Metinis CAPEX'!N$9:N$16)</f>
        <v>0</v>
      </c>
      <c r="L110" s="62">
        <f>SUM('4. Metinis CAPEX'!O$9:O$16)</f>
        <v>0</v>
      </c>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row>
    <row r="111" spans="1:45">
      <c r="A111" s="57">
        <v>8</v>
      </c>
      <c r="B111" s="57" t="s">
        <v>59</v>
      </c>
      <c r="C111" s="62">
        <f t="shared" ref="C111:L111" si="68">SUM(F$5:F$12)</f>
        <v>0</v>
      </c>
      <c r="D111" s="62">
        <f t="shared" si="68"/>
        <v>0</v>
      </c>
      <c r="E111" s="62">
        <f t="shared" si="68"/>
        <v>0</v>
      </c>
      <c r="F111" s="62">
        <f t="shared" si="68"/>
        <v>0</v>
      </c>
      <c r="G111" s="62">
        <f t="shared" si="68"/>
        <v>0</v>
      </c>
      <c r="H111" s="62">
        <f t="shared" si="68"/>
        <v>0</v>
      </c>
      <c r="I111" s="62">
        <f t="shared" si="68"/>
        <v>0</v>
      </c>
      <c r="J111" s="62">
        <f t="shared" si="68"/>
        <v>0</v>
      </c>
      <c r="K111" s="62">
        <f t="shared" si="68"/>
        <v>0</v>
      </c>
      <c r="L111" s="62">
        <f t="shared" si="68"/>
        <v>0</v>
      </c>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row>
    <row r="112" spans="1:45">
      <c r="A112" s="57">
        <v>8</v>
      </c>
      <c r="B112" s="57" t="s">
        <v>60</v>
      </c>
      <c r="C112" s="62">
        <f t="shared" ref="C112:L112" si="69">SUM(Z$5:Z$12)</f>
        <v>0</v>
      </c>
      <c r="D112" s="62">
        <f t="shared" si="69"/>
        <v>0</v>
      </c>
      <c r="E112" s="62">
        <f t="shared" si="69"/>
        <v>0</v>
      </c>
      <c r="F112" s="62">
        <f t="shared" si="69"/>
        <v>0</v>
      </c>
      <c r="G112" s="62">
        <f t="shared" si="69"/>
        <v>0</v>
      </c>
      <c r="H112" s="62">
        <f t="shared" si="69"/>
        <v>0</v>
      </c>
      <c r="I112" s="62">
        <f t="shared" si="69"/>
        <v>0</v>
      </c>
      <c r="J112" s="62">
        <f t="shared" si="69"/>
        <v>0</v>
      </c>
      <c r="K112" s="62">
        <f t="shared" si="69"/>
        <v>0</v>
      </c>
      <c r="L112" s="62">
        <f t="shared" si="69"/>
        <v>0</v>
      </c>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row>
    <row r="113" spans="1:45">
      <c r="A113" s="57">
        <v>8</v>
      </c>
      <c r="B113" s="57" t="s">
        <v>61</v>
      </c>
      <c r="C113" s="62">
        <f t="shared" ref="C113:L113" si="70">SUM(AJ$5:AJ$12)</f>
        <v>0</v>
      </c>
      <c r="D113" s="62">
        <f t="shared" si="70"/>
        <v>0</v>
      </c>
      <c r="E113" s="62">
        <f t="shared" si="70"/>
        <v>0</v>
      </c>
      <c r="F113" s="62">
        <f t="shared" si="70"/>
        <v>0</v>
      </c>
      <c r="G113" s="62">
        <f t="shared" si="70"/>
        <v>0</v>
      </c>
      <c r="H113" s="62">
        <f t="shared" si="70"/>
        <v>0</v>
      </c>
      <c r="I113" s="62">
        <f t="shared" si="70"/>
        <v>0</v>
      </c>
      <c r="J113" s="62">
        <f t="shared" si="70"/>
        <v>0</v>
      </c>
      <c r="K113" s="62">
        <f t="shared" si="70"/>
        <v>0</v>
      </c>
      <c r="L113" s="62">
        <f t="shared" si="70"/>
        <v>0</v>
      </c>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row>
    <row r="114" spans="1:45">
      <c r="A114" s="57">
        <v>8</v>
      </c>
      <c r="B114" s="57" t="s">
        <v>155</v>
      </c>
      <c r="C114" s="62" t="e" cm="1">
        <f t="array" ref="C114">SUMPRODUCT(--(2026&gt;'2. Investicijos'!$F$5:$F$12),--(2026&lt;='2. Investicijos'!$F$5:$F$12+'2. Investicijos'!$G$5:$G$12),IFERROR(('2. Investicijos'!$M$5:$M$12+'2. Investicijos'!$N$5:$N$12)/'2. Investicijos'!$G$5:$G$12,0))+SUMPRODUCT(--(2026&gt;'2. Investicijos'!$F$5:$F$12),--(2026&lt;='2. Investicijos'!$F$5:$F$12+'2. Investicijos'!$G$5:$G$12),IFERROR(('2. Investicijos'!$M$5:$M$12+'2. Investicijos'!$N$5:$N$12)*(1-((2026-'2. Investicijos'!$F$5:$F$12)-1)/'2. Investicijos'!$G$5:$G$12),0)*'5. 0% scenarijus'!$C$5)</f>
        <v>#VALUE!</v>
      </c>
      <c r="D114" s="62" t="e" cm="1">
        <f t="array" ref="D114">SUMPRODUCT(--(2027&gt;'2. Investicijos'!$F$5:$F$12),--(2027&lt;='2. Investicijos'!$F$5:$F$12+'2. Investicijos'!$G$5:$G$12),IFERROR(('2. Investicijos'!$M$5:$M$12+'2. Investicijos'!$N$5:$N$12)/'2. Investicijos'!$G$5:$G$12,0))+SUMPRODUCT(--(2027&gt;'2. Investicijos'!$F$5:$F$12),--(2027&lt;='2. Investicijos'!$F$5:$F$12+'2. Investicijos'!$G$5:$G$12),IFERROR(('2. Investicijos'!$M$5:$M$12+'2. Investicijos'!$N$5:$N$12)*(1-((2027-'2. Investicijos'!$F$5:$F$12)-1)/'2. Investicijos'!$G$5:$G$12),0)*'5. 0% scenarijus'!$C$5)</f>
        <v>#VALUE!</v>
      </c>
      <c r="E114" s="62" t="e" cm="1">
        <f t="array" ref="E114">SUMPRODUCT(--(2028&gt;'2. Investicijos'!$F$5:$F$12),--(2028&lt;='2. Investicijos'!$F$5:$F$12+'2. Investicijos'!$G$5:$G$12),IFERROR(('2. Investicijos'!$M$5:$M$12+'2. Investicijos'!$N$5:$N$12)/'2. Investicijos'!$G$5:$G$12,0))+SUMPRODUCT(--(2028&gt;'2. Investicijos'!$F$5:$F$12),--(2028&lt;='2. Investicijos'!$F$5:$F$12+'2. Investicijos'!$G$5:$G$12),IFERROR(('2. Investicijos'!$M$5:$M$12+'2. Investicijos'!$N$5:$N$12)*(1-((2028-'2. Investicijos'!$F$5:$F$12)-1)/'2. Investicijos'!$G$5:$G$12),0)*'5. 0% scenarijus'!$C$5)</f>
        <v>#VALUE!</v>
      </c>
      <c r="F114" s="62" t="e" cm="1">
        <f t="array" ref="F114">SUMPRODUCT(--(2029&gt;'2. Investicijos'!$F$5:$F$12),--(2029&lt;='2. Investicijos'!$F$5:$F$12+'2. Investicijos'!$G$5:$G$12),IFERROR(('2. Investicijos'!$M$5:$M$12+'2. Investicijos'!$N$5:$N$12)/'2. Investicijos'!$G$5:$G$12,0))+SUMPRODUCT(--(2029&gt;'2. Investicijos'!$F$5:$F$12),--(2029&lt;='2. Investicijos'!$F$5:$F$12+'2. Investicijos'!$G$5:$G$12),IFERROR(('2. Investicijos'!$M$5:$M$12+'2. Investicijos'!$N$5:$N$12)*(1-((2029-'2. Investicijos'!$F$5:$F$12)-1)/'2. Investicijos'!$G$5:$G$12),0)*'5. 0% scenarijus'!$C$5)</f>
        <v>#VALUE!</v>
      </c>
      <c r="G114" s="62" t="e" cm="1">
        <f t="array" ref="G114">SUMPRODUCT(--(2030&gt;'2. Investicijos'!$F$5:$F$12),--(2030&lt;='2. Investicijos'!$F$5:$F$12+'2. Investicijos'!$G$5:$G$12),IFERROR(('2. Investicijos'!$M$5:$M$12+'2. Investicijos'!$N$5:$N$12)/'2. Investicijos'!$G$5:$G$12,0))+SUMPRODUCT(--(2030&gt;'2. Investicijos'!$F$5:$F$12),--(2030&lt;='2. Investicijos'!$F$5:$F$12+'2. Investicijos'!$G$5:$G$12),IFERROR(('2. Investicijos'!$M$5:$M$12+'2. Investicijos'!$N$5:$N$12)*(1-((2030-'2. Investicijos'!$F$5:$F$12)-1)/'2. Investicijos'!$G$5:$G$12),0)*'5. 0% scenarijus'!$C$5)</f>
        <v>#VALUE!</v>
      </c>
      <c r="H114" s="62" t="e" cm="1">
        <f t="array" ref="H114">SUMPRODUCT(--(2031&gt;'2. Investicijos'!$F$5:$F$12),--(2031&lt;='2. Investicijos'!$F$5:$F$12+'2. Investicijos'!$G$5:$G$12),IFERROR(('2. Investicijos'!$M$5:$M$12+'2. Investicijos'!$N$5:$N$12)/'2. Investicijos'!$G$5:$G$12,0))+SUMPRODUCT(--(2031&gt;'2. Investicijos'!$F$5:$F$12),--(2031&lt;='2. Investicijos'!$F$5:$F$12+'2. Investicijos'!$G$5:$G$12),IFERROR(('2. Investicijos'!$M$5:$M$12+'2. Investicijos'!$N$5:$N$12)*(1-((2031-'2. Investicijos'!$F$5:$F$12)-1)/'2. Investicijos'!$G$5:$G$12),0)*'5. 0% scenarijus'!$C$5)</f>
        <v>#VALUE!</v>
      </c>
      <c r="I114" s="62" t="e" cm="1">
        <f t="array" ref="I114">SUMPRODUCT(--(2032&gt;'2. Investicijos'!$F$5:$F$12),--(2032&lt;='2. Investicijos'!$F$5:$F$12+'2. Investicijos'!$G$5:$G$12),IFERROR(('2. Investicijos'!$M$5:$M$12+'2. Investicijos'!$N$5:$N$12)/'2. Investicijos'!$G$5:$G$12,0))+SUMPRODUCT(--(2032&gt;'2. Investicijos'!$F$5:$F$12),--(2032&lt;='2. Investicijos'!$F$5:$F$12+'2. Investicijos'!$G$5:$G$12),IFERROR(('2. Investicijos'!$M$5:$M$12+'2. Investicijos'!$N$5:$N$12)*(1-((2032-'2. Investicijos'!$F$5:$F$12)-1)/'2. Investicijos'!$G$5:$G$12),0)*'5. 0% scenarijus'!$C$5)</f>
        <v>#VALUE!</v>
      </c>
      <c r="J114" s="62" t="e" cm="1">
        <f t="array" ref="J114">SUMPRODUCT(--(2033&gt;'2. Investicijos'!$F$5:$F$12),--(2033&lt;='2. Investicijos'!$F$5:$F$12+'2. Investicijos'!$G$5:$G$12),IFERROR(('2. Investicijos'!$M$5:$M$12+'2. Investicijos'!$N$5:$N$12)/'2. Investicijos'!$G$5:$G$12,0))+SUMPRODUCT(--(2033&gt;'2. Investicijos'!$F$5:$F$12),--(2033&lt;='2. Investicijos'!$F$5:$F$12+'2. Investicijos'!$G$5:$G$12),IFERROR(('2. Investicijos'!$M$5:$M$12+'2. Investicijos'!$N$5:$N$12)*(1-((2033-'2. Investicijos'!$F$5:$F$12)-1)/'2. Investicijos'!$G$5:$G$12),0)*'5. 0% scenarijus'!$C$5)</f>
        <v>#VALUE!</v>
      </c>
      <c r="K114" s="62" t="e" cm="1">
        <f t="array" ref="K114">SUMPRODUCT(--(2034&gt;'2. Investicijos'!$F$5:$F$12),--(2034&lt;='2. Investicijos'!$F$5:$F$12+'2. Investicijos'!$G$5:$G$12),IFERROR(('2. Investicijos'!$M$5:$M$12+'2. Investicijos'!$N$5:$N$12)/'2. Investicijos'!$G$5:$G$12,0))+SUMPRODUCT(--(2034&gt;'2. Investicijos'!$F$5:$F$12),--(2034&lt;='2. Investicijos'!$F$5:$F$12+'2. Investicijos'!$G$5:$G$12),IFERROR(('2. Investicijos'!$M$5:$M$12+'2. Investicijos'!$N$5:$N$12)*(1-((2034-'2. Investicijos'!$F$5:$F$12)-1)/'2. Investicijos'!$G$5:$G$12),0)*'5. 0% scenarijus'!$C$5)</f>
        <v>#VALUE!</v>
      </c>
      <c r="L114" s="62" t="e" cm="1">
        <f t="array" ref="L114">SUMPRODUCT(--(2035&gt;'2. Investicijos'!$F$5:$F$12),--(2035&lt;='2. Investicijos'!$F$5:$F$12+'2. Investicijos'!$G$5:$G$12),IFERROR(('2. Investicijos'!$M$5:$M$12+'2. Investicijos'!$N$5:$N$12)/'2. Investicijos'!$G$5:$G$12,0))+SUMPRODUCT(--(2035&gt;'2. Investicijos'!$F$5:$F$12),--(2035&lt;='2. Investicijos'!$F$5:$F$12+'2. Investicijos'!$G$5:$G$12),IFERROR(('2. Investicijos'!$M$5:$M$12+'2. Investicijos'!$N$5:$N$12)*(1-((2035-'2. Investicijos'!$F$5:$F$12)-1)/'2. Investicijos'!$G$5:$G$12),0)*'5. 0% scenarijus'!$C$5)</f>
        <v>#VALUE!</v>
      </c>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row>
    <row r="115" spans="1:45">
      <c r="A115" s="57">
        <v>8</v>
      </c>
      <c r="B115" s="57" t="s">
        <v>62</v>
      </c>
      <c r="C115" s="62" t="e">
        <f>'3. Finansinės prielaidos'!C29+C114</f>
        <v>#VALUE!</v>
      </c>
      <c r="D115" s="62" t="e">
        <f>'3. Finansinės prielaidos'!D29+D114</f>
        <v>#VALUE!</v>
      </c>
      <c r="E115" s="62" t="e">
        <f>'3. Finansinės prielaidos'!E29+E114</f>
        <v>#VALUE!</v>
      </c>
      <c r="F115" s="62" t="e">
        <f>'3. Finansinės prielaidos'!F29+F114</f>
        <v>#VALUE!</v>
      </c>
      <c r="G115" s="62" t="e">
        <f>'3. Finansinės prielaidos'!G29+G114</f>
        <v>#VALUE!</v>
      </c>
      <c r="H115" s="62" t="e">
        <f>'3. Finansinės prielaidos'!H29+H114</f>
        <v>#VALUE!</v>
      </c>
      <c r="I115" s="62" t="e">
        <f>'3. Finansinės prielaidos'!I29+I114</f>
        <v>#VALUE!</v>
      </c>
      <c r="J115" s="62" t="e">
        <f>'3. Finansinės prielaidos'!J29+J114</f>
        <v>#VALUE!</v>
      </c>
      <c r="K115" s="62" t="e">
        <f>'3. Finansinės prielaidos'!K29+K114</f>
        <v>#VALUE!</v>
      </c>
      <c r="L115" s="62" t="e">
        <f>'3. Finansinės prielaidos'!L29+L114</f>
        <v>#VALUE!</v>
      </c>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row>
    <row r="116" spans="1:45">
      <c r="A116" s="57">
        <v>8</v>
      </c>
      <c r="B116" s="57" t="s">
        <v>159</v>
      </c>
      <c r="C116" s="62">
        <f>'3. Finansinės prielaidos'!C30+C113</f>
        <v>0</v>
      </c>
      <c r="D116" s="62">
        <f>'3. Finansinės prielaidos'!D30+D113</f>
        <v>0</v>
      </c>
      <c r="E116" s="62">
        <f>'3. Finansinės prielaidos'!E30+E113</f>
        <v>0</v>
      </c>
      <c r="F116" s="62">
        <f>'3. Finansinės prielaidos'!F30+F113</f>
        <v>0</v>
      </c>
      <c r="G116" s="62">
        <f>'3. Finansinės prielaidos'!G30+G113</f>
        <v>0</v>
      </c>
      <c r="H116" s="62">
        <f>'3. Finansinės prielaidos'!H30+H113</f>
        <v>0</v>
      </c>
      <c r="I116" s="62">
        <f>'3. Finansinės prielaidos'!I30+I113</f>
        <v>0</v>
      </c>
      <c r="J116" s="62">
        <f>'3. Finansinės prielaidos'!J30+J113</f>
        <v>0</v>
      </c>
      <c r="K116" s="62">
        <f>'3. Finansinės prielaidos'!K30+K113</f>
        <v>0</v>
      </c>
      <c r="L116" s="62">
        <f>'3. Finansinės prielaidos'!L30+L113</f>
        <v>0</v>
      </c>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row>
    <row r="117" spans="1:45">
      <c r="A117" s="57">
        <v>8</v>
      </c>
      <c r="B117" s="57" t="s">
        <v>160</v>
      </c>
      <c r="C117" s="62" t="e" cm="1">
        <f t="array" ref="C117">'3. Finansinės prielaidos'!C31+C114+C111+SUMPRODUCT('4. Metinis CAPEX'!F$9:F$16,IFERROR(('2. Investicijos'!$I$5:$I$12+'2. Investicijos'!$J$5:$J$12+'2. Investicijos'!$K$5:$K$12+'2. Investicijos'!$L$5:$L$12)/'2. Investicijos'!$H$5:$H$12,0))-C110-SUM(P$5:P$12)-C112-0</f>
        <v>#VALUE!</v>
      </c>
      <c r="D117" s="62" t="e" cm="1">
        <f t="array" ref="D117">C117+('3. Finansinės prielaidos'!D31-'3. Finansinės prielaidos'!C31)+D114+D111+SUMPRODUCT('4. Metinis CAPEX'!G$9:G$16,IFERROR(('2. Investicijos'!$I$5:$I$12+'2. Investicijos'!$J$5:$J$12+'2. Investicijos'!$K$5:$K$12+'2. Investicijos'!$L$5:$L$12)/'2. Investicijos'!$H$5:$H$12,0))-D110-SUM(Q$5:Q$12)-D112-MAX(0,-C117)*IFERROR(SUMPRODUCT('2. Investicijos'!$N$5:$N$12,'2. Investicijos'!$O$5:$O$12/100)/SUM('2. Investicijos'!$N$5:$N$12),0)</f>
        <v>#VALUE!</v>
      </c>
      <c r="E117" s="62" t="e" cm="1">
        <f t="array" ref="E117">D117+('3. Finansinės prielaidos'!E31-'3. Finansinės prielaidos'!D31)+E114+E111+SUMPRODUCT('4. Metinis CAPEX'!H$9:H$16,IFERROR(('2. Investicijos'!$I$5:$I$12+'2. Investicijos'!$J$5:$J$12+'2. Investicijos'!$K$5:$K$12+'2. Investicijos'!$L$5:$L$12)/'2. Investicijos'!$H$5:$H$12,0))-E110-SUM(R$5:R$12)-E112-MAX(0,-D117)*IFERROR(SUMPRODUCT('2. Investicijos'!$N$5:$N$12,'2. Investicijos'!$O$5:$O$12/100)/SUM('2. Investicijos'!$N$5:$N$12),0)</f>
        <v>#VALUE!</v>
      </c>
      <c r="F117" s="62" t="e" cm="1">
        <f t="array" ref="F117">E117+('3. Finansinės prielaidos'!F31-'3. Finansinės prielaidos'!E31)+F114+F111+SUMPRODUCT('4. Metinis CAPEX'!I$9:I$16,IFERROR(('2. Investicijos'!$I$5:$I$12+'2. Investicijos'!$J$5:$J$12+'2. Investicijos'!$K$5:$K$12+'2. Investicijos'!$L$5:$L$12)/'2. Investicijos'!$H$5:$H$12,0))-F110-SUM(S$5:S$12)-F112-MAX(0,-E117)*IFERROR(SUMPRODUCT('2. Investicijos'!$N$5:$N$12,'2. Investicijos'!$O$5:$O$12/100)/SUM('2. Investicijos'!$N$5:$N$12),0)</f>
        <v>#VALUE!</v>
      </c>
      <c r="G117" s="62" t="e" cm="1">
        <f t="array" ref="G117">F117+('3. Finansinės prielaidos'!G31-'3. Finansinės prielaidos'!F31)+G114+G111+SUMPRODUCT('4. Metinis CAPEX'!J$9:J$16,IFERROR(('2. Investicijos'!$I$5:$I$12+'2. Investicijos'!$J$5:$J$12+'2. Investicijos'!$K$5:$K$12+'2. Investicijos'!$L$5:$L$12)/'2. Investicijos'!$H$5:$H$12,0))-G110-SUM(T$5:T$12)-G112-MAX(0,-F117)*IFERROR(SUMPRODUCT('2. Investicijos'!$N$5:$N$12,'2. Investicijos'!$O$5:$O$12/100)/SUM('2. Investicijos'!$N$5:$N$12),0)</f>
        <v>#VALUE!</v>
      </c>
      <c r="H117" s="62" t="e" cm="1">
        <f t="array" ref="H117">G117+('3. Finansinės prielaidos'!H31-'3. Finansinės prielaidos'!G31)+H114+H111+SUMPRODUCT('4. Metinis CAPEX'!K$9:K$16,IFERROR(('2. Investicijos'!$I$5:$I$12+'2. Investicijos'!$J$5:$J$12+'2. Investicijos'!$K$5:$K$12+'2. Investicijos'!$L$5:$L$12)/'2. Investicijos'!$H$5:$H$12,0))-H110-SUM(U$5:U$12)-H112-MAX(0,-G117)*IFERROR(SUMPRODUCT('2. Investicijos'!$N$5:$N$12,'2. Investicijos'!$O$5:$O$12/100)/SUM('2. Investicijos'!$N$5:$N$12),0)</f>
        <v>#VALUE!</v>
      </c>
      <c r="I117" s="62" t="e" cm="1">
        <f t="array" ref="I117">H117+('3. Finansinės prielaidos'!I31-'3. Finansinės prielaidos'!H31)+I114+I111+SUMPRODUCT('4. Metinis CAPEX'!L$9:L$16,IFERROR(('2. Investicijos'!$I$5:$I$12+'2. Investicijos'!$J$5:$J$12+'2. Investicijos'!$K$5:$K$12+'2. Investicijos'!$L$5:$L$12)/'2. Investicijos'!$H$5:$H$12,0))-I110-SUM(V$5:V$12)-I112-MAX(0,-H117)*IFERROR(SUMPRODUCT('2. Investicijos'!$N$5:$N$12,'2. Investicijos'!$O$5:$O$12/100)/SUM('2. Investicijos'!$N$5:$N$12),0)</f>
        <v>#VALUE!</v>
      </c>
      <c r="J117" s="62" t="e" cm="1">
        <f t="array" ref="J117">I117+('3. Finansinės prielaidos'!J31-'3. Finansinės prielaidos'!I31)+J114+J111+SUMPRODUCT('4. Metinis CAPEX'!M$9:M$16,IFERROR(('2. Investicijos'!$I$5:$I$12+'2. Investicijos'!$J$5:$J$12+'2. Investicijos'!$K$5:$K$12+'2. Investicijos'!$L$5:$L$12)/'2. Investicijos'!$H$5:$H$12,0))-J110-SUM(W$5:W$12)-J112-MAX(0,-I117)*IFERROR(SUMPRODUCT('2. Investicijos'!$N$5:$N$12,'2. Investicijos'!$O$5:$O$12/100)/SUM('2. Investicijos'!$N$5:$N$12),0)</f>
        <v>#VALUE!</v>
      </c>
      <c r="K117" s="62" t="e" cm="1">
        <f t="array" ref="K117">J117+('3. Finansinės prielaidos'!K31-'3. Finansinės prielaidos'!J31)+K114+K111+SUMPRODUCT('4. Metinis CAPEX'!N$9:N$16,IFERROR(('2. Investicijos'!$I$5:$I$12+'2. Investicijos'!$J$5:$J$12+'2. Investicijos'!$K$5:$K$12+'2. Investicijos'!$L$5:$L$12)/'2. Investicijos'!$H$5:$H$12,0))-K110-SUM(X$5:X$12)-K112-MAX(0,-J117)*IFERROR(SUMPRODUCT('2. Investicijos'!$N$5:$N$12,'2. Investicijos'!$O$5:$O$12/100)/SUM('2. Investicijos'!$N$5:$N$12),0)</f>
        <v>#VALUE!</v>
      </c>
      <c r="L117" s="62" t="e" cm="1">
        <f t="array" ref="L117">K117+('3. Finansinės prielaidos'!L31-'3. Finansinės prielaidos'!K31)+L114+L111+SUMPRODUCT('4. Metinis CAPEX'!O$9:O$16,IFERROR(('2. Investicijos'!$I$5:$I$12+'2. Investicijos'!$J$5:$J$12+'2. Investicijos'!$K$5:$K$12+'2. Investicijos'!$L$5:$L$12)/'2. Investicijos'!$H$5:$H$12,0))-L110-SUM(Y$5:Y$12)-L112-MAX(0,-K117)*IFERROR(SUMPRODUCT('2. Investicijos'!$N$5:$N$12,'2. Investicijos'!$O$5:$O$12/100)/SUM('2. Investicijos'!$N$5:$N$12),0)</f>
        <v>#VALUE!</v>
      </c>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row>
    <row r="118" spans="1:45">
      <c r="A118" s="57">
        <v>8</v>
      </c>
      <c r="B118" s="57" t="s">
        <v>23</v>
      </c>
      <c r="C118" s="62" t="e">
        <f t="shared" ref="C118:L118" si="71">IF(OR(C115="",C116="",C117="",C115&lt;=0),"",(C116-C117)/C115)</f>
        <v>#VALUE!</v>
      </c>
      <c r="D118" s="62" t="e">
        <f t="shared" si="71"/>
        <v>#VALUE!</v>
      </c>
      <c r="E118" s="62" t="e">
        <f t="shared" si="71"/>
        <v>#VALUE!</v>
      </c>
      <c r="F118" s="62" t="e">
        <f t="shared" si="71"/>
        <v>#VALUE!</v>
      </c>
      <c r="G118" s="62" t="e">
        <f t="shared" si="71"/>
        <v>#VALUE!</v>
      </c>
      <c r="H118" s="62" t="e">
        <f t="shared" si="71"/>
        <v>#VALUE!</v>
      </c>
      <c r="I118" s="62" t="e">
        <f t="shared" si="71"/>
        <v>#VALUE!</v>
      </c>
      <c r="J118" s="62" t="e">
        <f t="shared" si="71"/>
        <v>#VALUE!</v>
      </c>
      <c r="K118" s="62" t="e">
        <f t="shared" si="71"/>
        <v>#VALUE!</v>
      </c>
      <c r="L118" s="62" t="e">
        <f t="shared" si="71"/>
        <v>#VALUE!</v>
      </c>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row>
    <row r="119" spans="1:45">
      <c r="A119" s="57">
        <v>8</v>
      </c>
      <c r="B119" s="57" t="s">
        <v>24</v>
      </c>
      <c r="C119" s="62" t="e">
        <f>IF(OR(C115="",C115&lt;=0,'3. Finansinės prielaidos'!C32=""),"",IF('3. Finansinės prielaidos'!C32+SUM(P$5:P$12)+C112+0=0,999999,C115/('3. Finansinės prielaidos'!C32+SUM(P$5:P$12)+C112+0)))</f>
        <v>#VALUE!</v>
      </c>
      <c r="D119" s="62" t="e" cm="1">
        <f t="array" ref="D119">IF(OR(D115="",D115&lt;=0,'3. Finansinės prielaidos'!D32=""),"",IF('3. Finansinės prielaidos'!D32+SUM(Q$5:Q$12)+D112+MAX(0,-C117)*IFERROR(SUMPRODUCT('2. Investicijos'!$N$5:$N$12,'2. Investicijos'!$O$5:$O$12/100)/SUM('2. Investicijos'!$N$5:$N$12),0)=0,999999,D115/('3. Finansinės prielaidos'!D32+SUM(Q$5:Q$12)+D112+MAX(0,-C117)*IFERROR(SUMPRODUCT('2. Investicijos'!$N$5:$N$12,'2. Investicijos'!$O$5:$O$12/100)/SUM('2. Investicijos'!$N$5:$N$12),0))))</f>
        <v>#VALUE!</v>
      </c>
      <c r="E119" s="62" t="e" cm="1">
        <f t="array" ref="E119">IF(OR(E115="",E115&lt;=0,'3. Finansinės prielaidos'!E32=""),"",IF('3. Finansinės prielaidos'!E32+SUM(R$5:R$12)+E112+MAX(0,-D117)*IFERROR(SUMPRODUCT('2. Investicijos'!$N$5:$N$12,'2. Investicijos'!$O$5:$O$12/100)/SUM('2. Investicijos'!$N$5:$N$12),0)=0,999999,E115/('3. Finansinės prielaidos'!E32+SUM(R$5:R$12)+E112+MAX(0,-D117)*IFERROR(SUMPRODUCT('2. Investicijos'!$N$5:$N$12,'2. Investicijos'!$O$5:$O$12/100)/SUM('2. Investicijos'!$N$5:$N$12),0))))</f>
        <v>#VALUE!</v>
      </c>
      <c r="F119" s="62" t="e" cm="1">
        <f t="array" ref="F119">IF(OR(F115="",F115&lt;=0,'3. Finansinės prielaidos'!F32=""),"",IF('3. Finansinės prielaidos'!F32+SUM(S$5:S$12)+F112+MAX(0,-E117)*IFERROR(SUMPRODUCT('2. Investicijos'!$N$5:$N$12,'2. Investicijos'!$O$5:$O$12/100)/SUM('2. Investicijos'!$N$5:$N$12),0)=0,999999,F115/('3. Finansinės prielaidos'!F32+SUM(S$5:S$12)+F112+MAX(0,-E117)*IFERROR(SUMPRODUCT('2. Investicijos'!$N$5:$N$12,'2. Investicijos'!$O$5:$O$12/100)/SUM('2. Investicijos'!$N$5:$N$12),0))))</f>
        <v>#VALUE!</v>
      </c>
      <c r="G119" s="62" t="e" cm="1">
        <f t="array" ref="G119">IF(OR(G115="",G115&lt;=0,'3. Finansinės prielaidos'!G32=""),"",IF('3. Finansinės prielaidos'!G32+SUM(T$5:T$12)+G112+MAX(0,-F117)*IFERROR(SUMPRODUCT('2. Investicijos'!$N$5:$N$12,'2. Investicijos'!$O$5:$O$12/100)/SUM('2. Investicijos'!$N$5:$N$12),0)=0,999999,G115/('3. Finansinės prielaidos'!G32+SUM(T$5:T$12)+G112+MAX(0,-F117)*IFERROR(SUMPRODUCT('2. Investicijos'!$N$5:$N$12,'2. Investicijos'!$O$5:$O$12/100)/SUM('2. Investicijos'!$N$5:$N$12),0))))</f>
        <v>#VALUE!</v>
      </c>
      <c r="H119" s="62" t="e" cm="1">
        <f t="array" ref="H119">IF(OR(H115="",H115&lt;=0,'3. Finansinės prielaidos'!H32=""),"",IF('3. Finansinės prielaidos'!H32+SUM(U$5:U$12)+H112+MAX(0,-G117)*IFERROR(SUMPRODUCT('2. Investicijos'!$N$5:$N$12,'2. Investicijos'!$O$5:$O$12/100)/SUM('2. Investicijos'!$N$5:$N$12),0)=0,999999,H115/('3. Finansinės prielaidos'!H32+SUM(U$5:U$12)+H112+MAX(0,-G117)*IFERROR(SUMPRODUCT('2. Investicijos'!$N$5:$N$12,'2. Investicijos'!$O$5:$O$12/100)/SUM('2. Investicijos'!$N$5:$N$12),0))))</f>
        <v>#VALUE!</v>
      </c>
      <c r="I119" s="62" t="e" cm="1">
        <f t="array" ref="I119">IF(OR(I115="",I115&lt;=0,'3. Finansinės prielaidos'!I32=""),"",IF('3. Finansinės prielaidos'!I32+SUM(V$5:V$12)+I112+MAX(0,-H117)*IFERROR(SUMPRODUCT('2. Investicijos'!$N$5:$N$12,'2. Investicijos'!$O$5:$O$12/100)/SUM('2. Investicijos'!$N$5:$N$12),0)=0,999999,I115/('3. Finansinės prielaidos'!I32+SUM(V$5:V$12)+I112+MAX(0,-H117)*IFERROR(SUMPRODUCT('2. Investicijos'!$N$5:$N$12,'2. Investicijos'!$O$5:$O$12/100)/SUM('2. Investicijos'!$N$5:$N$12),0))))</f>
        <v>#VALUE!</v>
      </c>
      <c r="J119" s="62" t="e" cm="1">
        <f t="array" ref="J119">IF(OR(J115="",J115&lt;=0,'3. Finansinės prielaidos'!J32=""),"",IF('3. Finansinės prielaidos'!J32+SUM(W$5:W$12)+J112+MAX(0,-I117)*IFERROR(SUMPRODUCT('2. Investicijos'!$N$5:$N$12,'2. Investicijos'!$O$5:$O$12/100)/SUM('2. Investicijos'!$N$5:$N$12),0)=0,999999,J115/('3. Finansinės prielaidos'!J32+SUM(W$5:W$12)+J112+MAX(0,-I117)*IFERROR(SUMPRODUCT('2. Investicijos'!$N$5:$N$12,'2. Investicijos'!$O$5:$O$12/100)/SUM('2. Investicijos'!$N$5:$N$12),0))))</f>
        <v>#VALUE!</v>
      </c>
      <c r="K119" s="62" t="e" cm="1">
        <f t="array" ref="K119">IF(OR(K115="",K115&lt;=0,'3. Finansinės prielaidos'!K32=""),"",IF('3. Finansinės prielaidos'!K32+SUM(X$5:X$12)+K112+MAX(0,-J117)*IFERROR(SUMPRODUCT('2. Investicijos'!$N$5:$N$12,'2. Investicijos'!$O$5:$O$12/100)/SUM('2. Investicijos'!$N$5:$N$12),0)=0,999999,K115/('3. Finansinės prielaidos'!K32+SUM(X$5:X$12)+K112+MAX(0,-J117)*IFERROR(SUMPRODUCT('2. Investicijos'!$N$5:$N$12,'2. Investicijos'!$O$5:$O$12/100)/SUM('2. Investicijos'!$N$5:$N$12),0))))</f>
        <v>#VALUE!</v>
      </c>
      <c r="L119" s="62" t="e" cm="1">
        <f t="array" ref="L119">IF(OR(L115="",L115&lt;=0,'3. Finansinės prielaidos'!L32=""),"",IF('3. Finansinės prielaidos'!L32+SUM(Y$5:Y$12)+L112+MAX(0,-K117)*IFERROR(SUMPRODUCT('2. Investicijos'!$N$5:$N$12,'2. Investicijos'!$O$5:$O$12/100)/SUM('2. Investicijos'!$N$5:$N$12),0)=0,999999,L115/('3. Finansinės prielaidos'!L32+SUM(Y$5:Y$12)+L112+MAX(0,-K117)*IFERROR(SUMPRODUCT('2. Investicijos'!$N$5:$N$12,'2. Investicijos'!$O$5:$O$12/100)/SUM('2. Investicijos'!$N$5:$N$12),0))))</f>
        <v>#VALUE!</v>
      </c>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row>
    <row r="120" spans="1:45">
      <c r="A120" s="57">
        <v>9</v>
      </c>
      <c r="B120" s="57" t="s">
        <v>58</v>
      </c>
      <c r="C120" s="62">
        <f>SUM('4. Metinis CAPEX'!F$9:F$17)</f>
        <v>0</v>
      </c>
      <c r="D120" s="62">
        <f>SUM('4. Metinis CAPEX'!G$9:G$17)</f>
        <v>0</v>
      </c>
      <c r="E120" s="62">
        <f>SUM('4. Metinis CAPEX'!H$9:H$17)</f>
        <v>0</v>
      </c>
      <c r="F120" s="62">
        <f>SUM('4. Metinis CAPEX'!I$9:I$17)</f>
        <v>0</v>
      </c>
      <c r="G120" s="62">
        <f>SUM('4. Metinis CAPEX'!J$9:J$17)</f>
        <v>0</v>
      </c>
      <c r="H120" s="62">
        <f>SUM('4. Metinis CAPEX'!K$9:K$17)</f>
        <v>0</v>
      </c>
      <c r="I120" s="62">
        <f>SUM('4. Metinis CAPEX'!L$9:L$17)</f>
        <v>0</v>
      </c>
      <c r="J120" s="62">
        <f>SUM('4. Metinis CAPEX'!M$9:M$17)</f>
        <v>0</v>
      </c>
      <c r="K120" s="62">
        <f>SUM('4. Metinis CAPEX'!N$9:N$17)</f>
        <v>0</v>
      </c>
      <c r="L120" s="62">
        <f>SUM('4. Metinis CAPEX'!O$9:O$17)</f>
        <v>0</v>
      </c>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row>
    <row r="121" spans="1:45">
      <c r="A121" s="57">
        <v>9</v>
      </c>
      <c r="B121" s="57" t="s">
        <v>59</v>
      </c>
      <c r="C121" s="62">
        <f t="shared" ref="C121:L121" si="72">SUM(F$5:F$13)</f>
        <v>0</v>
      </c>
      <c r="D121" s="62">
        <f t="shared" si="72"/>
        <v>0</v>
      </c>
      <c r="E121" s="62">
        <f t="shared" si="72"/>
        <v>0</v>
      </c>
      <c r="F121" s="62">
        <f t="shared" si="72"/>
        <v>0</v>
      </c>
      <c r="G121" s="62">
        <f t="shared" si="72"/>
        <v>0</v>
      </c>
      <c r="H121" s="62">
        <f t="shared" si="72"/>
        <v>0</v>
      </c>
      <c r="I121" s="62">
        <f t="shared" si="72"/>
        <v>0</v>
      </c>
      <c r="J121" s="62">
        <f t="shared" si="72"/>
        <v>0</v>
      </c>
      <c r="K121" s="62">
        <f t="shared" si="72"/>
        <v>0</v>
      </c>
      <c r="L121" s="62">
        <f t="shared" si="72"/>
        <v>0</v>
      </c>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row>
    <row r="122" spans="1:45">
      <c r="A122" s="57">
        <v>9</v>
      </c>
      <c r="B122" s="57" t="s">
        <v>60</v>
      </c>
      <c r="C122" s="62">
        <f t="shared" ref="C122:L122" si="73">SUM(Z$5:Z$13)</f>
        <v>0</v>
      </c>
      <c r="D122" s="62">
        <f t="shared" si="73"/>
        <v>0</v>
      </c>
      <c r="E122" s="62">
        <f t="shared" si="73"/>
        <v>0</v>
      </c>
      <c r="F122" s="62">
        <f t="shared" si="73"/>
        <v>0</v>
      </c>
      <c r="G122" s="62">
        <f t="shared" si="73"/>
        <v>0</v>
      </c>
      <c r="H122" s="62">
        <f t="shared" si="73"/>
        <v>0</v>
      </c>
      <c r="I122" s="62">
        <f t="shared" si="73"/>
        <v>0</v>
      </c>
      <c r="J122" s="62">
        <f t="shared" si="73"/>
        <v>0</v>
      </c>
      <c r="K122" s="62">
        <f t="shared" si="73"/>
        <v>0</v>
      </c>
      <c r="L122" s="62">
        <f t="shared" si="73"/>
        <v>0</v>
      </c>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row>
    <row r="123" spans="1:45">
      <c r="A123" s="57">
        <v>9</v>
      </c>
      <c r="B123" s="57" t="s">
        <v>61</v>
      </c>
      <c r="C123" s="62">
        <f t="shared" ref="C123:L123" si="74">SUM(AJ$5:AJ$13)</f>
        <v>0</v>
      </c>
      <c r="D123" s="62">
        <f t="shared" si="74"/>
        <v>0</v>
      </c>
      <c r="E123" s="62">
        <f t="shared" si="74"/>
        <v>0</v>
      </c>
      <c r="F123" s="62">
        <f t="shared" si="74"/>
        <v>0</v>
      </c>
      <c r="G123" s="62">
        <f t="shared" si="74"/>
        <v>0</v>
      </c>
      <c r="H123" s="62">
        <f t="shared" si="74"/>
        <v>0</v>
      </c>
      <c r="I123" s="62">
        <f t="shared" si="74"/>
        <v>0</v>
      </c>
      <c r="J123" s="62">
        <f t="shared" si="74"/>
        <v>0</v>
      </c>
      <c r="K123" s="62">
        <f t="shared" si="74"/>
        <v>0</v>
      </c>
      <c r="L123" s="62">
        <f t="shared" si="74"/>
        <v>0</v>
      </c>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row>
    <row r="124" spans="1:45">
      <c r="A124" s="57">
        <v>9</v>
      </c>
      <c r="B124" s="57" t="s">
        <v>155</v>
      </c>
      <c r="C124" s="62" t="e" cm="1">
        <f t="array" ref="C124">SUMPRODUCT(--(2026&gt;'2. Investicijos'!$F$5:$F$13),--(2026&lt;='2. Investicijos'!$F$5:$F$13+'2. Investicijos'!$G$5:$G$13),IFERROR(('2. Investicijos'!$M$5:$M$13+'2. Investicijos'!$N$5:$N$13)/'2. Investicijos'!$G$5:$G$13,0))+SUMPRODUCT(--(2026&gt;'2. Investicijos'!$F$5:$F$13),--(2026&lt;='2. Investicijos'!$F$5:$F$13+'2. Investicijos'!$G$5:$G$13),IFERROR(('2. Investicijos'!$M$5:$M$13+'2. Investicijos'!$N$5:$N$13)*(1-((2026-'2. Investicijos'!$F$5:$F$13)-1)/'2. Investicijos'!$G$5:$G$13),0)*'5. 0% scenarijus'!$C$5)</f>
        <v>#VALUE!</v>
      </c>
      <c r="D124" s="62" t="e" cm="1">
        <f t="array" ref="D124">SUMPRODUCT(--(2027&gt;'2. Investicijos'!$F$5:$F$13),--(2027&lt;='2. Investicijos'!$F$5:$F$13+'2. Investicijos'!$G$5:$G$13),IFERROR(('2. Investicijos'!$M$5:$M$13+'2. Investicijos'!$N$5:$N$13)/'2. Investicijos'!$G$5:$G$13,0))+SUMPRODUCT(--(2027&gt;'2. Investicijos'!$F$5:$F$13),--(2027&lt;='2. Investicijos'!$F$5:$F$13+'2. Investicijos'!$G$5:$G$13),IFERROR(('2. Investicijos'!$M$5:$M$13+'2. Investicijos'!$N$5:$N$13)*(1-((2027-'2. Investicijos'!$F$5:$F$13)-1)/'2. Investicijos'!$G$5:$G$13),0)*'5. 0% scenarijus'!$C$5)</f>
        <v>#VALUE!</v>
      </c>
      <c r="E124" s="62" t="e" cm="1">
        <f t="array" ref="E124">SUMPRODUCT(--(2028&gt;'2. Investicijos'!$F$5:$F$13),--(2028&lt;='2. Investicijos'!$F$5:$F$13+'2. Investicijos'!$G$5:$G$13),IFERROR(('2. Investicijos'!$M$5:$M$13+'2. Investicijos'!$N$5:$N$13)/'2. Investicijos'!$G$5:$G$13,0))+SUMPRODUCT(--(2028&gt;'2. Investicijos'!$F$5:$F$13),--(2028&lt;='2. Investicijos'!$F$5:$F$13+'2. Investicijos'!$G$5:$G$13),IFERROR(('2. Investicijos'!$M$5:$M$13+'2. Investicijos'!$N$5:$N$13)*(1-((2028-'2. Investicijos'!$F$5:$F$13)-1)/'2. Investicijos'!$G$5:$G$13),0)*'5. 0% scenarijus'!$C$5)</f>
        <v>#VALUE!</v>
      </c>
      <c r="F124" s="62" t="e" cm="1">
        <f t="array" ref="F124">SUMPRODUCT(--(2029&gt;'2. Investicijos'!$F$5:$F$13),--(2029&lt;='2. Investicijos'!$F$5:$F$13+'2. Investicijos'!$G$5:$G$13),IFERROR(('2. Investicijos'!$M$5:$M$13+'2. Investicijos'!$N$5:$N$13)/'2. Investicijos'!$G$5:$G$13,0))+SUMPRODUCT(--(2029&gt;'2. Investicijos'!$F$5:$F$13),--(2029&lt;='2. Investicijos'!$F$5:$F$13+'2. Investicijos'!$G$5:$G$13),IFERROR(('2. Investicijos'!$M$5:$M$13+'2. Investicijos'!$N$5:$N$13)*(1-((2029-'2. Investicijos'!$F$5:$F$13)-1)/'2. Investicijos'!$G$5:$G$13),0)*'5. 0% scenarijus'!$C$5)</f>
        <v>#VALUE!</v>
      </c>
      <c r="G124" s="62" t="e" cm="1">
        <f t="array" ref="G124">SUMPRODUCT(--(2030&gt;'2. Investicijos'!$F$5:$F$13),--(2030&lt;='2. Investicijos'!$F$5:$F$13+'2. Investicijos'!$G$5:$G$13),IFERROR(('2. Investicijos'!$M$5:$M$13+'2. Investicijos'!$N$5:$N$13)/'2. Investicijos'!$G$5:$G$13,0))+SUMPRODUCT(--(2030&gt;'2. Investicijos'!$F$5:$F$13),--(2030&lt;='2. Investicijos'!$F$5:$F$13+'2. Investicijos'!$G$5:$G$13),IFERROR(('2. Investicijos'!$M$5:$M$13+'2. Investicijos'!$N$5:$N$13)*(1-((2030-'2. Investicijos'!$F$5:$F$13)-1)/'2. Investicijos'!$G$5:$G$13),0)*'5. 0% scenarijus'!$C$5)</f>
        <v>#VALUE!</v>
      </c>
      <c r="H124" s="62" t="e" cm="1">
        <f t="array" ref="H124">SUMPRODUCT(--(2031&gt;'2. Investicijos'!$F$5:$F$13),--(2031&lt;='2. Investicijos'!$F$5:$F$13+'2. Investicijos'!$G$5:$G$13),IFERROR(('2. Investicijos'!$M$5:$M$13+'2. Investicijos'!$N$5:$N$13)/'2. Investicijos'!$G$5:$G$13,0))+SUMPRODUCT(--(2031&gt;'2. Investicijos'!$F$5:$F$13),--(2031&lt;='2. Investicijos'!$F$5:$F$13+'2. Investicijos'!$G$5:$G$13),IFERROR(('2. Investicijos'!$M$5:$M$13+'2. Investicijos'!$N$5:$N$13)*(1-((2031-'2. Investicijos'!$F$5:$F$13)-1)/'2. Investicijos'!$G$5:$G$13),0)*'5. 0% scenarijus'!$C$5)</f>
        <v>#VALUE!</v>
      </c>
      <c r="I124" s="62" t="e" cm="1">
        <f t="array" ref="I124">SUMPRODUCT(--(2032&gt;'2. Investicijos'!$F$5:$F$13),--(2032&lt;='2. Investicijos'!$F$5:$F$13+'2. Investicijos'!$G$5:$G$13),IFERROR(('2. Investicijos'!$M$5:$M$13+'2. Investicijos'!$N$5:$N$13)/'2. Investicijos'!$G$5:$G$13,0))+SUMPRODUCT(--(2032&gt;'2. Investicijos'!$F$5:$F$13),--(2032&lt;='2. Investicijos'!$F$5:$F$13+'2. Investicijos'!$G$5:$G$13),IFERROR(('2. Investicijos'!$M$5:$M$13+'2. Investicijos'!$N$5:$N$13)*(1-((2032-'2. Investicijos'!$F$5:$F$13)-1)/'2. Investicijos'!$G$5:$G$13),0)*'5. 0% scenarijus'!$C$5)</f>
        <v>#VALUE!</v>
      </c>
      <c r="J124" s="62" t="e" cm="1">
        <f t="array" ref="J124">SUMPRODUCT(--(2033&gt;'2. Investicijos'!$F$5:$F$13),--(2033&lt;='2. Investicijos'!$F$5:$F$13+'2. Investicijos'!$G$5:$G$13),IFERROR(('2. Investicijos'!$M$5:$M$13+'2. Investicijos'!$N$5:$N$13)/'2. Investicijos'!$G$5:$G$13,0))+SUMPRODUCT(--(2033&gt;'2. Investicijos'!$F$5:$F$13),--(2033&lt;='2. Investicijos'!$F$5:$F$13+'2. Investicijos'!$G$5:$G$13),IFERROR(('2. Investicijos'!$M$5:$M$13+'2. Investicijos'!$N$5:$N$13)*(1-((2033-'2. Investicijos'!$F$5:$F$13)-1)/'2. Investicijos'!$G$5:$G$13),0)*'5. 0% scenarijus'!$C$5)</f>
        <v>#VALUE!</v>
      </c>
      <c r="K124" s="62" t="e" cm="1">
        <f t="array" ref="K124">SUMPRODUCT(--(2034&gt;'2. Investicijos'!$F$5:$F$13),--(2034&lt;='2. Investicijos'!$F$5:$F$13+'2. Investicijos'!$G$5:$G$13),IFERROR(('2. Investicijos'!$M$5:$M$13+'2. Investicijos'!$N$5:$N$13)/'2. Investicijos'!$G$5:$G$13,0))+SUMPRODUCT(--(2034&gt;'2. Investicijos'!$F$5:$F$13),--(2034&lt;='2. Investicijos'!$F$5:$F$13+'2. Investicijos'!$G$5:$G$13),IFERROR(('2. Investicijos'!$M$5:$M$13+'2. Investicijos'!$N$5:$N$13)*(1-((2034-'2. Investicijos'!$F$5:$F$13)-1)/'2. Investicijos'!$G$5:$G$13),0)*'5. 0% scenarijus'!$C$5)</f>
        <v>#VALUE!</v>
      </c>
      <c r="L124" s="62" t="e" cm="1">
        <f t="array" ref="L124">SUMPRODUCT(--(2035&gt;'2. Investicijos'!$F$5:$F$13),--(2035&lt;='2. Investicijos'!$F$5:$F$13+'2. Investicijos'!$G$5:$G$13),IFERROR(('2. Investicijos'!$M$5:$M$13+'2. Investicijos'!$N$5:$N$13)/'2. Investicijos'!$G$5:$G$13,0))+SUMPRODUCT(--(2035&gt;'2. Investicijos'!$F$5:$F$13),--(2035&lt;='2. Investicijos'!$F$5:$F$13+'2. Investicijos'!$G$5:$G$13),IFERROR(('2. Investicijos'!$M$5:$M$13+'2. Investicijos'!$N$5:$N$13)*(1-((2035-'2. Investicijos'!$F$5:$F$13)-1)/'2. Investicijos'!$G$5:$G$13),0)*'5. 0% scenarijus'!$C$5)</f>
        <v>#VALUE!</v>
      </c>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row>
    <row r="125" spans="1:45">
      <c r="A125" s="57">
        <v>9</v>
      </c>
      <c r="B125" s="57" t="s">
        <v>62</v>
      </c>
      <c r="C125" s="62" t="e">
        <f>'3. Finansinės prielaidos'!C29+C124</f>
        <v>#VALUE!</v>
      </c>
      <c r="D125" s="62" t="e">
        <f>'3. Finansinės prielaidos'!D29+D124</f>
        <v>#VALUE!</v>
      </c>
      <c r="E125" s="62" t="e">
        <f>'3. Finansinės prielaidos'!E29+E124</f>
        <v>#VALUE!</v>
      </c>
      <c r="F125" s="62" t="e">
        <f>'3. Finansinės prielaidos'!F29+F124</f>
        <v>#VALUE!</v>
      </c>
      <c r="G125" s="62" t="e">
        <f>'3. Finansinės prielaidos'!G29+G124</f>
        <v>#VALUE!</v>
      </c>
      <c r="H125" s="62" t="e">
        <f>'3. Finansinės prielaidos'!H29+H124</f>
        <v>#VALUE!</v>
      </c>
      <c r="I125" s="62" t="e">
        <f>'3. Finansinės prielaidos'!I29+I124</f>
        <v>#VALUE!</v>
      </c>
      <c r="J125" s="62" t="e">
        <f>'3. Finansinės prielaidos'!J29+J124</f>
        <v>#VALUE!</v>
      </c>
      <c r="K125" s="62" t="e">
        <f>'3. Finansinės prielaidos'!K29+K124</f>
        <v>#VALUE!</v>
      </c>
      <c r="L125" s="62" t="e">
        <f>'3. Finansinės prielaidos'!L29+L124</f>
        <v>#VALUE!</v>
      </c>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row>
    <row r="126" spans="1:45">
      <c r="A126" s="57">
        <v>9</v>
      </c>
      <c r="B126" s="57" t="s">
        <v>159</v>
      </c>
      <c r="C126" s="62">
        <f>'3. Finansinės prielaidos'!C30+C123</f>
        <v>0</v>
      </c>
      <c r="D126" s="62">
        <f>'3. Finansinės prielaidos'!D30+D123</f>
        <v>0</v>
      </c>
      <c r="E126" s="62">
        <f>'3. Finansinės prielaidos'!E30+E123</f>
        <v>0</v>
      </c>
      <c r="F126" s="62">
        <f>'3. Finansinės prielaidos'!F30+F123</f>
        <v>0</v>
      </c>
      <c r="G126" s="62">
        <f>'3. Finansinės prielaidos'!G30+G123</f>
        <v>0</v>
      </c>
      <c r="H126" s="62">
        <f>'3. Finansinės prielaidos'!H30+H123</f>
        <v>0</v>
      </c>
      <c r="I126" s="62">
        <f>'3. Finansinės prielaidos'!I30+I123</f>
        <v>0</v>
      </c>
      <c r="J126" s="62">
        <f>'3. Finansinės prielaidos'!J30+J123</f>
        <v>0</v>
      </c>
      <c r="K126" s="62">
        <f>'3. Finansinės prielaidos'!K30+K123</f>
        <v>0</v>
      </c>
      <c r="L126" s="62">
        <f>'3. Finansinės prielaidos'!L30+L123</f>
        <v>0</v>
      </c>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row>
    <row r="127" spans="1:45">
      <c r="A127" s="57">
        <v>9</v>
      </c>
      <c r="B127" s="57" t="s">
        <v>160</v>
      </c>
      <c r="C127" s="62" t="e" cm="1">
        <f t="array" ref="C127">'3. Finansinės prielaidos'!C31+C124+C121+SUMPRODUCT('4. Metinis CAPEX'!F$9:F$17,IFERROR(('2. Investicijos'!$I$5:$I$13+'2. Investicijos'!$J$5:$J$13+'2. Investicijos'!$K$5:$K$13+'2. Investicijos'!$L$5:$L$13)/'2. Investicijos'!$H$5:$H$13,0))-C120-SUM(P$5:P$13)-C122-0</f>
        <v>#VALUE!</v>
      </c>
      <c r="D127" s="62" t="e" cm="1">
        <f t="array" ref="D127">C127+('3. Finansinės prielaidos'!D31-'3. Finansinės prielaidos'!C31)+D124+D121+SUMPRODUCT('4. Metinis CAPEX'!G$9:G$17,IFERROR(('2. Investicijos'!$I$5:$I$13+'2. Investicijos'!$J$5:$J$13+'2. Investicijos'!$K$5:$K$13+'2. Investicijos'!$L$5:$L$13)/'2. Investicijos'!$H$5:$H$13,0))-D120-SUM(Q$5:Q$13)-D122-MAX(0,-C127)*IFERROR(SUMPRODUCT('2. Investicijos'!$N$5:$N$13,'2. Investicijos'!$O$5:$O$13/100)/SUM('2. Investicijos'!$N$5:$N$13),0)</f>
        <v>#VALUE!</v>
      </c>
      <c r="E127" s="62" t="e" cm="1">
        <f t="array" ref="E127">D127+('3. Finansinės prielaidos'!E31-'3. Finansinės prielaidos'!D31)+E124+E121+SUMPRODUCT('4. Metinis CAPEX'!H$9:H$17,IFERROR(('2. Investicijos'!$I$5:$I$13+'2. Investicijos'!$J$5:$J$13+'2. Investicijos'!$K$5:$K$13+'2. Investicijos'!$L$5:$L$13)/'2. Investicijos'!$H$5:$H$13,0))-E120-SUM(R$5:R$13)-E122-MAX(0,-D127)*IFERROR(SUMPRODUCT('2. Investicijos'!$N$5:$N$13,'2. Investicijos'!$O$5:$O$13/100)/SUM('2. Investicijos'!$N$5:$N$13),0)</f>
        <v>#VALUE!</v>
      </c>
      <c r="F127" s="62" t="e" cm="1">
        <f t="array" ref="F127">E127+('3. Finansinės prielaidos'!F31-'3. Finansinės prielaidos'!E31)+F124+F121+SUMPRODUCT('4. Metinis CAPEX'!I$9:I$17,IFERROR(('2. Investicijos'!$I$5:$I$13+'2. Investicijos'!$J$5:$J$13+'2. Investicijos'!$K$5:$K$13+'2. Investicijos'!$L$5:$L$13)/'2. Investicijos'!$H$5:$H$13,0))-F120-SUM(S$5:S$13)-F122-MAX(0,-E127)*IFERROR(SUMPRODUCT('2. Investicijos'!$N$5:$N$13,'2. Investicijos'!$O$5:$O$13/100)/SUM('2. Investicijos'!$N$5:$N$13),0)</f>
        <v>#VALUE!</v>
      </c>
      <c r="G127" s="62" t="e" cm="1">
        <f t="array" ref="G127">F127+('3. Finansinės prielaidos'!G31-'3. Finansinės prielaidos'!F31)+G124+G121+SUMPRODUCT('4. Metinis CAPEX'!J$9:J$17,IFERROR(('2. Investicijos'!$I$5:$I$13+'2. Investicijos'!$J$5:$J$13+'2. Investicijos'!$K$5:$K$13+'2. Investicijos'!$L$5:$L$13)/'2. Investicijos'!$H$5:$H$13,0))-G120-SUM(T$5:T$13)-G122-MAX(0,-F127)*IFERROR(SUMPRODUCT('2. Investicijos'!$N$5:$N$13,'2. Investicijos'!$O$5:$O$13/100)/SUM('2. Investicijos'!$N$5:$N$13),0)</f>
        <v>#VALUE!</v>
      </c>
      <c r="H127" s="62" t="e" cm="1">
        <f t="array" ref="H127">G127+('3. Finansinės prielaidos'!H31-'3. Finansinės prielaidos'!G31)+H124+H121+SUMPRODUCT('4. Metinis CAPEX'!K$9:K$17,IFERROR(('2. Investicijos'!$I$5:$I$13+'2. Investicijos'!$J$5:$J$13+'2. Investicijos'!$K$5:$K$13+'2. Investicijos'!$L$5:$L$13)/'2. Investicijos'!$H$5:$H$13,0))-H120-SUM(U$5:U$13)-H122-MAX(0,-G127)*IFERROR(SUMPRODUCT('2. Investicijos'!$N$5:$N$13,'2. Investicijos'!$O$5:$O$13/100)/SUM('2. Investicijos'!$N$5:$N$13),0)</f>
        <v>#VALUE!</v>
      </c>
      <c r="I127" s="62" t="e" cm="1">
        <f t="array" ref="I127">H127+('3. Finansinės prielaidos'!I31-'3. Finansinės prielaidos'!H31)+I124+I121+SUMPRODUCT('4. Metinis CAPEX'!L$9:L$17,IFERROR(('2. Investicijos'!$I$5:$I$13+'2. Investicijos'!$J$5:$J$13+'2. Investicijos'!$K$5:$K$13+'2. Investicijos'!$L$5:$L$13)/'2. Investicijos'!$H$5:$H$13,0))-I120-SUM(V$5:V$13)-I122-MAX(0,-H127)*IFERROR(SUMPRODUCT('2. Investicijos'!$N$5:$N$13,'2. Investicijos'!$O$5:$O$13/100)/SUM('2. Investicijos'!$N$5:$N$13),0)</f>
        <v>#VALUE!</v>
      </c>
      <c r="J127" s="62" t="e" cm="1">
        <f t="array" ref="J127">I127+('3. Finansinės prielaidos'!J31-'3. Finansinės prielaidos'!I31)+J124+J121+SUMPRODUCT('4. Metinis CAPEX'!M$9:M$17,IFERROR(('2. Investicijos'!$I$5:$I$13+'2. Investicijos'!$J$5:$J$13+'2. Investicijos'!$K$5:$K$13+'2. Investicijos'!$L$5:$L$13)/'2. Investicijos'!$H$5:$H$13,0))-J120-SUM(W$5:W$13)-J122-MAX(0,-I127)*IFERROR(SUMPRODUCT('2. Investicijos'!$N$5:$N$13,'2. Investicijos'!$O$5:$O$13/100)/SUM('2. Investicijos'!$N$5:$N$13),0)</f>
        <v>#VALUE!</v>
      </c>
      <c r="K127" s="62" t="e" cm="1">
        <f t="array" ref="K127">J127+('3. Finansinės prielaidos'!K31-'3. Finansinės prielaidos'!J31)+K124+K121+SUMPRODUCT('4. Metinis CAPEX'!N$9:N$17,IFERROR(('2. Investicijos'!$I$5:$I$13+'2. Investicijos'!$J$5:$J$13+'2. Investicijos'!$K$5:$K$13+'2. Investicijos'!$L$5:$L$13)/'2. Investicijos'!$H$5:$H$13,0))-K120-SUM(X$5:X$13)-K122-MAX(0,-J127)*IFERROR(SUMPRODUCT('2. Investicijos'!$N$5:$N$13,'2. Investicijos'!$O$5:$O$13/100)/SUM('2. Investicijos'!$N$5:$N$13),0)</f>
        <v>#VALUE!</v>
      </c>
      <c r="L127" s="62" t="e" cm="1">
        <f t="array" ref="L127">K127+('3. Finansinės prielaidos'!L31-'3. Finansinės prielaidos'!K31)+L124+L121+SUMPRODUCT('4. Metinis CAPEX'!O$9:O$17,IFERROR(('2. Investicijos'!$I$5:$I$13+'2. Investicijos'!$J$5:$J$13+'2. Investicijos'!$K$5:$K$13+'2. Investicijos'!$L$5:$L$13)/'2. Investicijos'!$H$5:$H$13,0))-L120-SUM(Y$5:Y$13)-L122-MAX(0,-K127)*IFERROR(SUMPRODUCT('2. Investicijos'!$N$5:$N$13,'2. Investicijos'!$O$5:$O$13/100)/SUM('2. Investicijos'!$N$5:$N$13),0)</f>
        <v>#VALUE!</v>
      </c>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row>
    <row r="128" spans="1:45">
      <c r="A128" s="57">
        <v>9</v>
      </c>
      <c r="B128" s="57" t="s">
        <v>23</v>
      </c>
      <c r="C128" s="62" t="e">
        <f t="shared" ref="C128:L128" si="75">IF(OR(C125="",C126="",C127="",C125&lt;=0),"",(C126-C127)/C125)</f>
        <v>#VALUE!</v>
      </c>
      <c r="D128" s="62" t="e">
        <f t="shared" si="75"/>
        <v>#VALUE!</v>
      </c>
      <c r="E128" s="62" t="e">
        <f t="shared" si="75"/>
        <v>#VALUE!</v>
      </c>
      <c r="F128" s="62" t="e">
        <f t="shared" si="75"/>
        <v>#VALUE!</v>
      </c>
      <c r="G128" s="62" t="e">
        <f t="shared" si="75"/>
        <v>#VALUE!</v>
      </c>
      <c r="H128" s="62" t="e">
        <f t="shared" si="75"/>
        <v>#VALUE!</v>
      </c>
      <c r="I128" s="62" t="e">
        <f t="shared" si="75"/>
        <v>#VALUE!</v>
      </c>
      <c r="J128" s="62" t="e">
        <f t="shared" si="75"/>
        <v>#VALUE!</v>
      </c>
      <c r="K128" s="62" t="e">
        <f t="shared" si="75"/>
        <v>#VALUE!</v>
      </c>
      <c r="L128" s="62" t="e">
        <f t="shared" si="75"/>
        <v>#VALUE!</v>
      </c>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row>
    <row r="129" spans="1:45">
      <c r="A129" s="57">
        <v>9</v>
      </c>
      <c r="B129" s="57" t="s">
        <v>24</v>
      </c>
      <c r="C129" s="62" t="e">
        <f>IF(OR(C125="",C125&lt;=0,'3. Finansinės prielaidos'!C32=""),"",IF('3. Finansinės prielaidos'!C32+SUM(P$5:P$13)+C122+0=0,999999,C125/('3. Finansinės prielaidos'!C32+SUM(P$5:P$13)+C122+0)))</f>
        <v>#VALUE!</v>
      </c>
      <c r="D129" s="62" t="e" cm="1">
        <f t="array" ref="D129">IF(OR(D125="",D125&lt;=0,'3. Finansinės prielaidos'!D32=""),"",IF('3. Finansinės prielaidos'!D32+SUM(Q$5:Q$13)+D122+MAX(0,-C127)*IFERROR(SUMPRODUCT('2. Investicijos'!$N$5:$N$13,'2. Investicijos'!$O$5:$O$13/100)/SUM('2. Investicijos'!$N$5:$N$13),0)=0,999999,D125/('3. Finansinės prielaidos'!D32+SUM(Q$5:Q$13)+D122+MAX(0,-C127)*IFERROR(SUMPRODUCT('2. Investicijos'!$N$5:$N$13,'2. Investicijos'!$O$5:$O$13/100)/SUM('2. Investicijos'!$N$5:$N$13),0))))</f>
        <v>#VALUE!</v>
      </c>
      <c r="E129" s="62" t="e" cm="1">
        <f t="array" ref="E129">IF(OR(E125="",E125&lt;=0,'3. Finansinės prielaidos'!E32=""),"",IF('3. Finansinės prielaidos'!E32+SUM(R$5:R$13)+E122+MAX(0,-D127)*IFERROR(SUMPRODUCT('2. Investicijos'!$N$5:$N$13,'2. Investicijos'!$O$5:$O$13/100)/SUM('2. Investicijos'!$N$5:$N$13),0)=0,999999,E125/('3. Finansinės prielaidos'!E32+SUM(R$5:R$13)+E122+MAX(0,-D127)*IFERROR(SUMPRODUCT('2. Investicijos'!$N$5:$N$13,'2. Investicijos'!$O$5:$O$13/100)/SUM('2. Investicijos'!$N$5:$N$13),0))))</f>
        <v>#VALUE!</v>
      </c>
      <c r="F129" s="62" t="e" cm="1">
        <f t="array" ref="F129">IF(OR(F125="",F125&lt;=0,'3. Finansinės prielaidos'!F32=""),"",IF('3. Finansinės prielaidos'!F32+SUM(S$5:S$13)+F122+MAX(0,-E127)*IFERROR(SUMPRODUCT('2. Investicijos'!$N$5:$N$13,'2. Investicijos'!$O$5:$O$13/100)/SUM('2. Investicijos'!$N$5:$N$13),0)=0,999999,F125/('3. Finansinės prielaidos'!F32+SUM(S$5:S$13)+F122+MAX(0,-E127)*IFERROR(SUMPRODUCT('2. Investicijos'!$N$5:$N$13,'2. Investicijos'!$O$5:$O$13/100)/SUM('2. Investicijos'!$N$5:$N$13),0))))</f>
        <v>#VALUE!</v>
      </c>
      <c r="G129" s="62" t="e" cm="1">
        <f t="array" ref="G129">IF(OR(G125="",G125&lt;=0,'3. Finansinės prielaidos'!G32=""),"",IF('3. Finansinės prielaidos'!G32+SUM(T$5:T$13)+G122+MAX(0,-F127)*IFERROR(SUMPRODUCT('2. Investicijos'!$N$5:$N$13,'2. Investicijos'!$O$5:$O$13/100)/SUM('2. Investicijos'!$N$5:$N$13),0)=0,999999,G125/('3. Finansinės prielaidos'!G32+SUM(T$5:T$13)+G122+MAX(0,-F127)*IFERROR(SUMPRODUCT('2. Investicijos'!$N$5:$N$13,'2. Investicijos'!$O$5:$O$13/100)/SUM('2. Investicijos'!$N$5:$N$13),0))))</f>
        <v>#VALUE!</v>
      </c>
      <c r="H129" s="62" t="e" cm="1">
        <f t="array" ref="H129">IF(OR(H125="",H125&lt;=0,'3. Finansinės prielaidos'!H32=""),"",IF('3. Finansinės prielaidos'!H32+SUM(U$5:U$13)+H122+MAX(0,-G127)*IFERROR(SUMPRODUCT('2. Investicijos'!$N$5:$N$13,'2. Investicijos'!$O$5:$O$13/100)/SUM('2. Investicijos'!$N$5:$N$13),0)=0,999999,H125/('3. Finansinės prielaidos'!H32+SUM(U$5:U$13)+H122+MAX(0,-G127)*IFERROR(SUMPRODUCT('2. Investicijos'!$N$5:$N$13,'2. Investicijos'!$O$5:$O$13/100)/SUM('2. Investicijos'!$N$5:$N$13),0))))</f>
        <v>#VALUE!</v>
      </c>
      <c r="I129" s="62" t="e" cm="1">
        <f t="array" ref="I129">IF(OR(I125="",I125&lt;=0,'3. Finansinės prielaidos'!I32=""),"",IF('3. Finansinės prielaidos'!I32+SUM(V$5:V$13)+I122+MAX(0,-H127)*IFERROR(SUMPRODUCT('2. Investicijos'!$N$5:$N$13,'2. Investicijos'!$O$5:$O$13/100)/SUM('2. Investicijos'!$N$5:$N$13),0)=0,999999,I125/('3. Finansinės prielaidos'!I32+SUM(V$5:V$13)+I122+MAX(0,-H127)*IFERROR(SUMPRODUCT('2. Investicijos'!$N$5:$N$13,'2. Investicijos'!$O$5:$O$13/100)/SUM('2. Investicijos'!$N$5:$N$13),0))))</f>
        <v>#VALUE!</v>
      </c>
      <c r="J129" s="62" t="e" cm="1">
        <f t="array" ref="J129">IF(OR(J125="",J125&lt;=0,'3. Finansinės prielaidos'!J32=""),"",IF('3. Finansinės prielaidos'!J32+SUM(W$5:W$13)+J122+MAX(0,-I127)*IFERROR(SUMPRODUCT('2. Investicijos'!$N$5:$N$13,'2. Investicijos'!$O$5:$O$13/100)/SUM('2. Investicijos'!$N$5:$N$13),0)=0,999999,J125/('3. Finansinės prielaidos'!J32+SUM(W$5:W$13)+J122+MAX(0,-I127)*IFERROR(SUMPRODUCT('2. Investicijos'!$N$5:$N$13,'2. Investicijos'!$O$5:$O$13/100)/SUM('2. Investicijos'!$N$5:$N$13),0))))</f>
        <v>#VALUE!</v>
      </c>
      <c r="K129" s="62" t="e" cm="1">
        <f t="array" ref="K129">IF(OR(K125="",K125&lt;=0,'3. Finansinės prielaidos'!K32=""),"",IF('3. Finansinės prielaidos'!K32+SUM(X$5:X$13)+K122+MAX(0,-J127)*IFERROR(SUMPRODUCT('2. Investicijos'!$N$5:$N$13,'2. Investicijos'!$O$5:$O$13/100)/SUM('2. Investicijos'!$N$5:$N$13),0)=0,999999,K125/('3. Finansinės prielaidos'!K32+SUM(X$5:X$13)+K122+MAX(0,-J127)*IFERROR(SUMPRODUCT('2. Investicijos'!$N$5:$N$13,'2. Investicijos'!$O$5:$O$13/100)/SUM('2. Investicijos'!$N$5:$N$13),0))))</f>
        <v>#VALUE!</v>
      </c>
      <c r="L129" s="62" t="e" cm="1">
        <f t="array" ref="L129">IF(OR(L125="",L125&lt;=0,'3. Finansinės prielaidos'!L32=""),"",IF('3. Finansinės prielaidos'!L32+SUM(Y$5:Y$13)+L122+MAX(0,-K127)*IFERROR(SUMPRODUCT('2. Investicijos'!$N$5:$N$13,'2. Investicijos'!$O$5:$O$13/100)/SUM('2. Investicijos'!$N$5:$N$13),0)=0,999999,L125/('3. Finansinės prielaidos'!L32+SUM(Y$5:Y$13)+L122+MAX(0,-K127)*IFERROR(SUMPRODUCT('2. Investicijos'!$N$5:$N$13,'2. Investicijos'!$O$5:$O$13/100)/SUM('2. Investicijos'!$N$5:$N$13),0))))</f>
        <v>#VALUE!</v>
      </c>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row>
    <row r="130" spans="1:45">
      <c r="A130" s="57">
        <v>10</v>
      </c>
      <c r="B130" s="57" t="s">
        <v>58</v>
      </c>
      <c r="C130" s="62">
        <f>SUM('4. Metinis CAPEX'!F$9:F$18)</f>
        <v>0</v>
      </c>
      <c r="D130" s="62">
        <f>SUM('4. Metinis CAPEX'!G$9:G$18)</f>
        <v>0</v>
      </c>
      <c r="E130" s="62">
        <f>SUM('4. Metinis CAPEX'!H$9:H$18)</f>
        <v>0</v>
      </c>
      <c r="F130" s="62">
        <f>SUM('4. Metinis CAPEX'!I$9:I$18)</f>
        <v>0</v>
      </c>
      <c r="G130" s="62">
        <f>SUM('4. Metinis CAPEX'!J$9:J$18)</f>
        <v>0</v>
      </c>
      <c r="H130" s="62">
        <f>SUM('4. Metinis CAPEX'!K$9:K$18)</f>
        <v>0</v>
      </c>
      <c r="I130" s="62">
        <f>SUM('4. Metinis CAPEX'!L$9:L$18)</f>
        <v>0</v>
      </c>
      <c r="J130" s="62">
        <f>SUM('4. Metinis CAPEX'!M$9:M$18)</f>
        <v>0</v>
      </c>
      <c r="K130" s="62">
        <f>SUM('4. Metinis CAPEX'!N$9:N$18)</f>
        <v>0</v>
      </c>
      <c r="L130" s="62">
        <f>SUM('4. Metinis CAPEX'!O$9:O$18)</f>
        <v>0</v>
      </c>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row>
    <row r="131" spans="1:45">
      <c r="A131" s="57">
        <v>10</v>
      </c>
      <c r="B131" s="57" t="s">
        <v>59</v>
      </c>
      <c r="C131" s="62">
        <f t="shared" ref="C131:L131" si="76">SUM(F$5:F$14)</f>
        <v>0</v>
      </c>
      <c r="D131" s="62">
        <f t="shared" si="76"/>
        <v>0</v>
      </c>
      <c r="E131" s="62">
        <f t="shared" si="76"/>
        <v>0</v>
      </c>
      <c r="F131" s="62">
        <f t="shared" si="76"/>
        <v>0</v>
      </c>
      <c r="G131" s="62">
        <f t="shared" si="76"/>
        <v>0</v>
      </c>
      <c r="H131" s="62">
        <f t="shared" si="76"/>
        <v>0</v>
      </c>
      <c r="I131" s="62">
        <f t="shared" si="76"/>
        <v>0</v>
      </c>
      <c r="J131" s="62">
        <f t="shared" si="76"/>
        <v>0</v>
      </c>
      <c r="K131" s="62">
        <f t="shared" si="76"/>
        <v>0</v>
      </c>
      <c r="L131" s="62">
        <f t="shared" si="76"/>
        <v>0</v>
      </c>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row>
    <row r="132" spans="1:45">
      <c r="A132" s="57">
        <v>10</v>
      </c>
      <c r="B132" s="57" t="s">
        <v>60</v>
      </c>
      <c r="C132" s="62">
        <f t="shared" ref="C132:L132" si="77">SUM(Z$5:Z$14)</f>
        <v>0</v>
      </c>
      <c r="D132" s="62">
        <f t="shared" si="77"/>
        <v>0</v>
      </c>
      <c r="E132" s="62">
        <f t="shared" si="77"/>
        <v>0</v>
      </c>
      <c r="F132" s="62">
        <f t="shared" si="77"/>
        <v>0</v>
      </c>
      <c r="G132" s="62">
        <f t="shared" si="77"/>
        <v>0</v>
      </c>
      <c r="H132" s="62">
        <f t="shared" si="77"/>
        <v>0</v>
      </c>
      <c r="I132" s="62">
        <f t="shared" si="77"/>
        <v>0</v>
      </c>
      <c r="J132" s="62">
        <f t="shared" si="77"/>
        <v>0</v>
      </c>
      <c r="K132" s="62">
        <f t="shared" si="77"/>
        <v>0</v>
      </c>
      <c r="L132" s="62">
        <f t="shared" si="77"/>
        <v>0</v>
      </c>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row>
    <row r="133" spans="1:45">
      <c r="A133" s="57">
        <v>10</v>
      </c>
      <c r="B133" s="57" t="s">
        <v>61</v>
      </c>
      <c r="C133" s="62">
        <f t="shared" ref="C133:L133" si="78">SUM(AJ$5:AJ$14)</f>
        <v>0</v>
      </c>
      <c r="D133" s="62">
        <f t="shared" si="78"/>
        <v>0</v>
      </c>
      <c r="E133" s="62">
        <f t="shared" si="78"/>
        <v>0</v>
      </c>
      <c r="F133" s="62">
        <f t="shared" si="78"/>
        <v>0</v>
      </c>
      <c r="G133" s="62">
        <f t="shared" si="78"/>
        <v>0</v>
      </c>
      <c r="H133" s="62">
        <f t="shared" si="78"/>
        <v>0</v>
      </c>
      <c r="I133" s="62">
        <f t="shared" si="78"/>
        <v>0</v>
      </c>
      <c r="J133" s="62">
        <f t="shared" si="78"/>
        <v>0</v>
      </c>
      <c r="K133" s="62">
        <f t="shared" si="78"/>
        <v>0</v>
      </c>
      <c r="L133" s="62">
        <f t="shared" si="78"/>
        <v>0</v>
      </c>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row>
    <row r="134" spans="1:45">
      <c r="A134" s="57">
        <v>10</v>
      </c>
      <c r="B134" s="57" t="s">
        <v>155</v>
      </c>
      <c r="C134" s="62" t="e" cm="1">
        <f t="array" ref="C134">SUMPRODUCT(--(2026&gt;'2. Investicijos'!$F$5:$F$14),--(2026&lt;='2. Investicijos'!$F$5:$F$14+'2. Investicijos'!$G$5:$G$14),IFERROR(('2. Investicijos'!$M$5:$M$14+'2. Investicijos'!$N$5:$N$14)/'2. Investicijos'!$G$5:$G$14,0))+SUMPRODUCT(--(2026&gt;'2. Investicijos'!$F$5:$F$14),--(2026&lt;='2. Investicijos'!$F$5:$F$14+'2. Investicijos'!$G$5:$G$14),IFERROR(('2. Investicijos'!$M$5:$M$14+'2. Investicijos'!$N$5:$N$14)*(1-((2026-'2. Investicijos'!$F$5:$F$14)-1)/'2. Investicijos'!$G$5:$G$14),0)*'5. 0% scenarijus'!$C$5)</f>
        <v>#VALUE!</v>
      </c>
      <c r="D134" s="62" t="e" cm="1">
        <f t="array" ref="D134">SUMPRODUCT(--(2027&gt;'2. Investicijos'!$F$5:$F$14),--(2027&lt;='2. Investicijos'!$F$5:$F$14+'2. Investicijos'!$G$5:$G$14),IFERROR(('2. Investicijos'!$M$5:$M$14+'2. Investicijos'!$N$5:$N$14)/'2. Investicijos'!$G$5:$G$14,0))+SUMPRODUCT(--(2027&gt;'2. Investicijos'!$F$5:$F$14),--(2027&lt;='2. Investicijos'!$F$5:$F$14+'2. Investicijos'!$G$5:$G$14),IFERROR(('2. Investicijos'!$M$5:$M$14+'2. Investicijos'!$N$5:$N$14)*(1-((2027-'2. Investicijos'!$F$5:$F$14)-1)/'2. Investicijos'!$G$5:$G$14),0)*'5. 0% scenarijus'!$C$5)</f>
        <v>#VALUE!</v>
      </c>
      <c r="E134" s="62" t="e" cm="1">
        <f t="array" ref="E134">SUMPRODUCT(--(2028&gt;'2. Investicijos'!$F$5:$F$14),--(2028&lt;='2. Investicijos'!$F$5:$F$14+'2. Investicijos'!$G$5:$G$14),IFERROR(('2. Investicijos'!$M$5:$M$14+'2. Investicijos'!$N$5:$N$14)/'2. Investicijos'!$G$5:$G$14,0))+SUMPRODUCT(--(2028&gt;'2. Investicijos'!$F$5:$F$14),--(2028&lt;='2. Investicijos'!$F$5:$F$14+'2. Investicijos'!$G$5:$G$14),IFERROR(('2. Investicijos'!$M$5:$M$14+'2. Investicijos'!$N$5:$N$14)*(1-((2028-'2. Investicijos'!$F$5:$F$14)-1)/'2. Investicijos'!$G$5:$G$14),0)*'5. 0% scenarijus'!$C$5)</f>
        <v>#VALUE!</v>
      </c>
      <c r="F134" s="62" t="e" cm="1">
        <f t="array" ref="F134">SUMPRODUCT(--(2029&gt;'2. Investicijos'!$F$5:$F$14),--(2029&lt;='2. Investicijos'!$F$5:$F$14+'2. Investicijos'!$G$5:$G$14),IFERROR(('2. Investicijos'!$M$5:$M$14+'2. Investicijos'!$N$5:$N$14)/'2. Investicijos'!$G$5:$G$14,0))+SUMPRODUCT(--(2029&gt;'2. Investicijos'!$F$5:$F$14),--(2029&lt;='2. Investicijos'!$F$5:$F$14+'2. Investicijos'!$G$5:$G$14),IFERROR(('2. Investicijos'!$M$5:$M$14+'2. Investicijos'!$N$5:$N$14)*(1-((2029-'2. Investicijos'!$F$5:$F$14)-1)/'2. Investicijos'!$G$5:$G$14),0)*'5. 0% scenarijus'!$C$5)</f>
        <v>#VALUE!</v>
      </c>
      <c r="G134" s="62" t="e" cm="1">
        <f t="array" ref="G134">SUMPRODUCT(--(2030&gt;'2. Investicijos'!$F$5:$F$14),--(2030&lt;='2. Investicijos'!$F$5:$F$14+'2. Investicijos'!$G$5:$G$14),IFERROR(('2. Investicijos'!$M$5:$M$14+'2. Investicijos'!$N$5:$N$14)/'2. Investicijos'!$G$5:$G$14,0))+SUMPRODUCT(--(2030&gt;'2. Investicijos'!$F$5:$F$14),--(2030&lt;='2. Investicijos'!$F$5:$F$14+'2. Investicijos'!$G$5:$G$14),IFERROR(('2. Investicijos'!$M$5:$M$14+'2. Investicijos'!$N$5:$N$14)*(1-((2030-'2. Investicijos'!$F$5:$F$14)-1)/'2. Investicijos'!$G$5:$G$14),0)*'5. 0% scenarijus'!$C$5)</f>
        <v>#VALUE!</v>
      </c>
      <c r="H134" s="62" t="e" cm="1">
        <f t="array" ref="H134">SUMPRODUCT(--(2031&gt;'2. Investicijos'!$F$5:$F$14),--(2031&lt;='2. Investicijos'!$F$5:$F$14+'2. Investicijos'!$G$5:$G$14),IFERROR(('2. Investicijos'!$M$5:$M$14+'2. Investicijos'!$N$5:$N$14)/'2. Investicijos'!$G$5:$G$14,0))+SUMPRODUCT(--(2031&gt;'2. Investicijos'!$F$5:$F$14),--(2031&lt;='2. Investicijos'!$F$5:$F$14+'2. Investicijos'!$G$5:$G$14),IFERROR(('2. Investicijos'!$M$5:$M$14+'2. Investicijos'!$N$5:$N$14)*(1-((2031-'2. Investicijos'!$F$5:$F$14)-1)/'2. Investicijos'!$G$5:$G$14),0)*'5. 0% scenarijus'!$C$5)</f>
        <v>#VALUE!</v>
      </c>
      <c r="I134" s="62" t="e" cm="1">
        <f t="array" ref="I134">SUMPRODUCT(--(2032&gt;'2. Investicijos'!$F$5:$F$14),--(2032&lt;='2. Investicijos'!$F$5:$F$14+'2. Investicijos'!$G$5:$G$14),IFERROR(('2. Investicijos'!$M$5:$M$14+'2. Investicijos'!$N$5:$N$14)/'2. Investicijos'!$G$5:$G$14,0))+SUMPRODUCT(--(2032&gt;'2. Investicijos'!$F$5:$F$14),--(2032&lt;='2. Investicijos'!$F$5:$F$14+'2. Investicijos'!$G$5:$G$14),IFERROR(('2. Investicijos'!$M$5:$M$14+'2. Investicijos'!$N$5:$N$14)*(1-((2032-'2. Investicijos'!$F$5:$F$14)-1)/'2. Investicijos'!$G$5:$G$14),0)*'5. 0% scenarijus'!$C$5)</f>
        <v>#VALUE!</v>
      </c>
      <c r="J134" s="62" t="e" cm="1">
        <f t="array" ref="J134">SUMPRODUCT(--(2033&gt;'2. Investicijos'!$F$5:$F$14),--(2033&lt;='2. Investicijos'!$F$5:$F$14+'2. Investicijos'!$G$5:$G$14),IFERROR(('2. Investicijos'!$M$5:$M$14+'2. Investicijos'!$N$5:$N$14)/'2. Investicijos'!$G$5:$G$14,0))+SUMPRODUCT(--(2033&gt;'2. Investicijos'!$F$5:$F$14),--(2033&lt;='2. Investicijos'!$F$5:$F$14+'2. Investicijos'!$G$5:$G$14),IFERROR(('2. Investicijos'!$M$5:$M$14+'2. Investicijos'!$N$5:$N$14)*(1-((2033-'2. Investicijos'!$F$5:$F$14)-1)/'2. Investicijos'!$G$5:$G$14),0)*'5. 0% scenarijus'!$C$5)</f>
        <v>#VALUE!</v>
      </c>
      <c r="K134" s="62" t="e" cm="1">
        <f t="array" ref="K134">SUMPRODUCT(--(2034&gt;'2. Investicijos'!$F$5:$F$14),--(2034&lt;='2. Investicijos'!$F$5:$F$14+'2. Investicijos'!$G$5:$G$14),IFERROR(('2. Investicijos'!$M$5:$M$14+'2. Investicijos'!$N$5:$N$14)/'2. Investicijos'!$G$5:$G$14,0))+SUMPRODUCT(--(2034&gt;'2. Investicijos'!$F$5:$F$14),--(2034&lt;='2. Investicijos'!$F$5:$F$14+'2. Investicijos'!$G$5:$G$14),IFERROR(('2. Investicijos'!$M$5:$M$14+'2. Investicijos'!$N$5:$N$14)*(1-((2034-'2. Investicijos'!$F$5:$F$14)-1)/'2. Investicijos'!$G$5:$G$14),0)*'5. 0% scenarijus'!$C$5)</f>
        <v>#VALUE!</v>
      </c>
      <c r="L134" s="62" t="e" cm="1">
        <f t="array" ref="L134">SUMPRODUCT(--(2035&gt;'2. Investicijos'!$F$5:$F$14),--(2035&lt;='2. Investicijos'!$F$5:$F$14+'2. Investicijos'!$G$5:$G$14),IFERROR(('2. Investicijos'!$M$5:$M$14+'2. Investicijos'!$N$5:$N$14)/'2. Investicijos'!$G$5:$G$14,0))+SUMPRODUCT(--(2035&gt;'2. Investicijos'!$F$5:$F$14),--(2035&lt;='2. Investicijos'!$F$5:$F$14+'2. Investicijos'!$G$5:$G$14),IFERROR(('2. Investicijos'!$M$5:$M$14+'2. Investicijos'!$N$5:$N$14)*(1-((2035-'2. Investicijos'!$F$5:$F$14)-1)/'2. Investicijos'!$G$5:$G$14),0)*'5. 0% scenarijus'!$C$5)</f>
        <v>#VALUE!</v>
      </c>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row>
    <row r="135" spans="1:45">
      <c r="A135" s="57">
        <v>10</v>
      </c>
      <c r="B135" s="57" t="s">
        <v>62</v>
      </c>
      <c r="C135" s="62" t="e">
        <f>'3. Finansinės prielaidos'!C29+C134</f>
        <v>#VALUE!</v>
      </c>
      <c r="D135" s="62" t="e">
        <f>'3. Finansinės prielaidos'!D29+D134</f>
        <v>#VALUE!</v>
      </c>
      <c r="E135" s="62" t="e">
        <f>'3. Finansinės prielaidos'!E29+E134</f>
        <v>#VALUE!</v>
      </c>
      <c r="F135" s="62" t="e">
        <f>'3. Finansinės prielaidos'!F29+F134</f>
        <v>#VALUE!</v>
      </c>
      <c r="G135" s="62" t="e">
        <f>'3. Finansinės prielaidos'!G29+G134</f>
        <v>#VALUE!</v>
      </c>
      <c r="H135" s="62" t="e">
        <f>'3. Finansinės prielaidos'!H29+H134</f>
        <v>#VALUE!</v>
      </c>
      <c r="I135" s="62" t="e">
        <f>'3. Finansinės prielaidos'!I29+I134</f>
        <v>#VALUE!</v>
      </c>
      <c r="J135" s="62" t="e">
        <f>'3. Finansinės prielaidos'!J29+J134</f>
        <v>#VALUE!</v>
      </c>
      <c r="K135" s="62" t="e">
        <f>'3. Finansinės prielaidos'!K29+K134</f>
        <v>#VALUE!</v>
      </c>
      <c r="L135" s="62" t="e">
        <f>'3. Finansinės prielaidos'!L29+L134</f>
        <v>#VALUE!</v>
      </c>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row>
    <row r="136" spans="1:45">
      <c r="A136" s="57">
        <v>10</v>
      </c>
      <c r="B136" s="57" t="s">
        <v>159</v>
      </c>
      <c r="C136" s="62">
        <f>'3. Finansinės prielaidos'!C30+C133</f>
        <v>0</v>
      </c>
      <c r="D136" s="62">
        <f>'3. Finansinės prielaidos'!D30+D133</f>
        <v>0</v>
      </c>
      <c r="E136" s="62">
        <f>'3. Finansinės prielaidos'!E30+E133</f>
        <v>0</v>
      </c>
      <c r="F136" s="62">
        <f>'3. Finansinės prielaidos'!F30+F133</f>
        <v>0</v>
      </c>
      <c r="G136" s="62">
        <f>'3. Finansinės prielaidos'!G30+G133</f>
        <v>0</v>
      </c>
      <c r="H136" s="62">
        <f>'3. Finansinės prielaidos'!H30+H133</f>
        <v>0</v>
      </c>
      <c r="I136" s="62">
        <f>'3. Finansinės prielaidos'!I30+I133</f>
        <v>0</v>
      </c>
      <c r="J136" s="62">
        <f>'3. Finansinės prielaidos'!J30+J133</f>
        <v>0</v>
      </c>
      <c r="K136" s="62">
        <f>'3. Finansinės prielaidos'!K30+K133</f>
        <v>0</v>
      </c>
      <c r="L136" s="62">
        <f>'3. Finansinės prielaidos'!L30+L133</f>
        <v>0</v>
      </c>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row>
    <row r="137" spans="1:45">
      <c r="A137" s="57">
        <v>10</v>
      </c>
      <c r="B137" s="57" t="s">
        <v>160</v>
      </c>
      <c r="C137" s="62" t="e" cm="1">
        <f t="array" ref="C137">'3. Finansinės prielaidos'!C31+C134+C131+SUMPRODUCT('4. Metinis CAPEX'!F$9:F$18,IFERROR(('2. Investicijos'!$I$5:$I$14+'2. Investicijos'!$J$5:$J$14+'2. Investicijos'!$K$5:$K$14+'2. Investicijos'!$L$5:$L$14)/'2. Investicijos'!$H$5:$H$14,0))-C130-SUM(P$5:P$14)-C132-0</f>
        <v>#VALUE!</v>
      </c>
      <c r="D137" s="62" t="e" cm="1">
        <f t="array" ref="D137">C137+('3. Finansinės prielaidos'!D31-'3. Finansinės prielaidos'!C31)+D134+D131+SUMPRODUCT('4. Metinis CAPEX'!G$9:G$18,IFERROR(('2. Investicijos'!$I$5:$I$14+'2. Investicijos'!$J$5:$J$14+'2. Investicijos'!$K$5:$K$14+'2. Investicijos'!$L$5:$L$14)/'2. Investicijos'!$H$5:$H$14,0))-D130-SUM(Q$5:Q$14)-D132-MAX(0,-C137)*IFERROR(SUMPRODUCT('2. Investicijos'!$N$5:$N$14,'2. Investicijos'!$O$5:$O$14/100)/SUM('2. Investicijos'!$N$5:$N$14),0)</f>
        <v>#VALUE!</v>
      </c>
      <c r="E137" s="62" t="e" cm="1">
        <f t="array" ref="E137">D137+('3. Finansinės prielaidos'!E31-'3. Finansinės prielaidos'!D31)+E134+E131+SUMPRODUCT('4. Metinis CAPEX'!H$9:H$18,IFERROR(('2. Investicijos'!$I$5:$I$14+'2. Investicijos'!$J$5:$J$14+'2. Investicijos'!$K$5:$K$14+'2. Investicijos'!$L$5:$L$14)/'2. Investicijos'!$H$5:$H$14,0))-E130-SUM(R$5:R$14)-E132-MAX(0,-D137)*IFERROR(SUMPRODUCT('2. Investicijos'!$N$5:$N$14,'2. Investicijos'!$O$5:$O$14/100)/SUM('2. Investicijos'!$N$5:$N$14),0)</f>
        <v>#VALUE!</v>
      </c>
      <c r="F137" s="62" t="e" cm="1">
        <f t="array" ref="F137">E137+('3. Finansinės prielaidos'!F31-'3. Finansinės prielaidos'!E31)+F134+F131+SUMPRODUCT('4. Metinis CAPEX'!I$9:I$18,IFERROR(('2. Investicijos'!$I$5:$I$14+'2. Investicijos'!$J$5:$J$14+'2. Investicijos'!$K$5:$K$14+'2. Investicijos'!$L$5:$L$14)/'2. Investicijos'!$H$5:$H$14,0))-F130-SUM(S$5:S$14)-F132-MAX(0,-E137)*IFERROR(SUMPRODUCT('2. Investicijos'!$N$5:$N$14,'2. Investicijos'!$O$5:$O$14/100)/SUM('2. Investicijos'!$N$5:$N$14),0)</f>
        <v>#VALUE!</v>
      </c>
      <c r="G137" s="62" t="e" cm="1">
        <f t="array" ref="G137">F137+('3. Finansinės prielaidos'!G31-'3. Finansinės prielaidos'!F31)+G134+G131+SUMPRODUCT('4. Metinis CAPEX'!J$9:J$18,IFERROR(('2. Investicijos'!$I$5:$I$14+'2. Investicijos'!$J$5:$J$14+'2. Investicijos'!$K$5:$K$14+'2. Investicijos'!$L$5:$L$14)/'2. Investicijos'!$H$5:$H$14,0))-G130-SUM(T$5:T$14)-G132-MAX(0,-F137)*IFERROR(SUMPRODUCT('2. Investicijos'!$N$5:$N$14,'2. Investicijos'!$O$5:$O$14/100)/SUM('2. Investicijos'!$N$5:$N$14),0)</f>
        <v>#VALUE!</v>
      </c>
      <c r="H137" s="62" t="e" cm="1">
        <f t="array" ref="H137">G137+('3. Finansinės prielaidos'!H31-'3. Finansinės prielaidos'!G31)+H134+H131+SUMPRODUCT('4. Metinis CAPEX'!K$9:K$18,IFERROR(('2. Investicijos'!$I$5:$I$14+'2. Investicijos'!$J$5:$J$14+'2. Investicijos'!$K$5:$K$14+'2. Investicijos'!$L$5:$L$14)/'2. Investicijos'!$H$5:$H$14,0))-H130-SUM(U$5:U$14)-H132-MAX(0,-G137)*IFERROR(SUMPRODUCT('2. Investicijos'!$N$5:$N$14,'2. Investicijos'!$O$5:$O$14/100)/SUM('2. Investicijos'!$N$5:$N$14),0)</f>
        <v>#VALUE!</v>
      </c>
      <c r="I137" s="62" t="e" cm="1">
        <f t="array" ref="I137">H137+('3. Finansinės prielaidos'!I31-'3. Finansinės prielaidos'!H31)+I134+I131+SUMPRODUCT('4. Metinis CAPEX'!L$9:L$18,IFERROR(('2. Investicijos'!$I$5:$I$14+'2. Investicijos'!$J$5:$J$14+'2. Investicijos'!$K$5:$K$14+'2. Investicijos'!$L$5:$L$14)/'2. Investicijos'!$H$5:$H$14,0))-I130-SUM(V$5:V$14)-I132-MAX(0,-H137)*IFERROR(SUMPRODUCT('2. Investicijos'!$N$5:$N$14,'2. Investicijos'!$O$5:$O$14/100)/SUM('2. Investicijos'!$N$5:$N$14),0)</f>
        <v>#VALUE!</v>
      </c>
      <c r="J137" s="62" t="e" cm="1">
        <f t="array" ref="J137">I137+('3. Finansinės prielaidos'!J31-'3. Finansinės prielaidos'!I31)+J134+J131+SUMPRODUCT('4. Metinis CAPEX'!M$9:M$18,IFERROR(('2. Investicijos'!$I$5:$I$14+'2. Investicijos'!$J$5:$J$14+'2. Investicijos'!$K$5:$K$14+'2. Investicijos'!$L$5:$L$14)/'2. Investicijos'!$H$5:$H$14,0))-J130-SUM(W$5:W$14)-J132-MAX(0,-I137)*IFERROR(SUMPRODUCT('2. Investicijos'!$N$5:$N$14,'2. Investicijos'!$O$5:$O$14/100)/SUM('2. Investicijos'!$N$5:$N$14),0)</f>
        <v>#VALUE!</v>
      </c>
      <c r="K137" s="62" t="e" cm="1">
        <f t="array" ref="K137">J137+('3. Finansinės prielaidos'!K31-'3. Finansinės prielaidos'!J31)+K134+K131+SUMPRODUCT('4. Metinis CAPEX'!N$9:N$18,IFERROR(('2. Investicijos'!$I$5:$I$14+'2. Investicijos'!$J$5:$J$14+'2. Investicijos'!$K$5:$K$14+'2. Investicijos'!$L$5:$L$14)/'2. Investicijos'!$H$5:$H$14,0))-K130-SUM(X$5:X$14)-K132-MAX(0,-J137)*IFERROR(SUMPRODUCT('2. Investicijos'!$N$5:$N$14,'2. Investicijos'!$O$5:$O$14/100)/SUM('2. Investicijos'!$N$5:$N$14),0)</f>
        <v>#VALUE!</v>
      </c>
      <c r="L137" s="62" t="e" cm="1">
        <f t="array" ref="L137">K137+('3. Finansinės prielaidos'!L31-'3. Finansinės prielaidos'!K31)+L134+L131+SUMPRODUCT('4. Metinis CAPEX'!O$9:O$18,IFERROR(('2. Investicijos'!$I$5:$I$14+'2. Investicijos'!$J$5:$J$14+'2. Investicijos'!$K$5:$K$14+'2. Investicijos'!$L$5:$L$14)/'2. Investicijos'!$H$5:$H$14,0))-L130-SUM(Y$5:Y$14)-L132-MAX(0,-K137)*IFERROR(SUMPRODUCT('2. Investicijos'!$N$5:$N$14,'2. Investicijos'!$O$5:$O$14/100)/SUM('2. Investicijos'!$N$5:$N$14),0)</f>
        <v>#VALUE!</v>
      </c>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row>
    <row r="138" spans="1:45">
      <c r="A138" s="57">
        <v>10</v>
      </c>
      <c r="B138" s="57" t="s">
        <v>23</v>
      </c>
      <c r="C138" s="62" t="e">
        <f t="shared" ref="C138:L138" si="79">IF(OR(C135="",C136="",C137="",C135&lt;=0),"",(C136-C137)/C135)</f>
        <v>#VALUE!</v>
      </c>
      <c r="D138" s="62" t="e">
        <f t="shared" si="79"/>
        <v>#VALUE!</v>
      </c>
      <c r="E138" s="62" t="e">
        <f t="shared" si="79"/>
        <v>#VALUE!</v>
      </c>
      <c r="F138" s="62" t="e">
        <f t="shared" si="79"/>
        <v>#VALUE!</v>
      </c>
      <c r="G138" s="62" t="e">
        <f t="shared" si="79"/>
        <v>#VALUE!</v>
      </c>
      <c r="H138" s="62" t="e">
        <f t="shared" si="79"/>
        <v>#VALUE!</v>
      </c>
      <c r="I138" s="62" t="e">
        <f t="shared" si="79"/>
        <v>#VALUE!</v>
      </c>
      <c r="J138" s="62" t="e">
        <f t="shared" si="79"/>
        <v>#VALUE!</v>
      </c>
      <c r="K138" s="62" t="e">
        <f t="shared" si="79"/>
        <v>#VALUE!</v>
      </c>
      <c r="L138" s="62" t="e">
        <f t="shared" si="79"/>
        <v>#VALUE!</v>
      </c>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row>
    <row r="139" spans="1:45">
      <c r="A139" s="57">
        <v>10</v>
      </c>
      <c r="B139" s="57" t="s">
        <v>24</v>
      </c>
      <c r="C139" s="62" t="e">
        <f>IF(OR(C135="",C135&lt;=0,'3. Finansinės prielaidos'!C32=""),"",IF('3. Finansinės prielaidos'!C32+SUM(P$5:P$14)+C132+0=0,999999,C135/('3. Finansinės prielaidos'!C32+SUM(P$5:P$14)+C132+0)))</f>
        <v>#VALUE!</v>
      </c>
      <c r="D139" s="62" t="e" cm="1">
        <f t="array" ref="D139">IF(OR(D135="",D135&lt;=0,'3. Finansinės prielaidos'!D32=""),"",IF('3. Finansinės prielaidos'!D32+SUM(Q$5:Q$14)+D132+MAX(0,-C137)*IFERROR(SUMPRODUCT('2. Investicijos'!$N$5:$N$14,'2. Investicijos'!$O$5:$O$14/100)/SUM('2. Investicijos'!$N$5:$N$14),0)=0,999999,D135/('3. Finansinės prielaidos'!D32+SUM(Q$5:Q$14)+D132+MAX(0,-C137)*IFERROR(SUMPRODUCT('2. Investicijos'!$N$5:$N$14,'2. Investicijos'!$O$5:$O$14/100)/SUM('2. Investicijos'!$N$5:$N$14),0))))</f>
        <v>#VALUE!</v>
      </c>
      <c r="E139" s="62" t="e" cm="1">
        <f t="array" ref="E139">IF(OR(E135="",E135&lt;=0,'3. Finansinės prielaidos'!E32=""),"",IF('3. Finansinės prielaidos'!E32+SUM(R$5:R$14)+E132+MAX(0,-D137)*IFERROR(SUMPRODUCT('2. Investicijos'!$N$5:$N$14,'2. Investicijos'!$O$5:$O$14/100)/SUM('2. Investicijos'!$N$5:$N$14),0)=0,999999,E135/('3. Finansinės prielaidos'!E32+SUM(R$5:R$14)+E132+MAX(0,-D137)*IFERROR(SUMPRODUCT('2. Investicijos'!$N$5:$N$14,'2. Investicijos'!$O$5:$O$14/100)/SUM('2. Investicijos'!$N$5:$N$14),0))))</f>
        <v>#VALUE!</v>
      </c>
      <c r="F139" s="62" t="e" cm="1">
        <f t="array" ref="F139">IF(OR(F135="",F135&lt;=0,'3. Finansinės prielaidos'!F32=""),"",IF('3. Finansinės prielaidos'!F32+SUM(S$5:S$14)+F132+MAX(0,-E137)*IFERROR(SUMPRODUCT('2. Investicijos'!$N$5:$N$14,'2. Investicijos'!$O$5:$O$14/100)/SUM('2. Investicijos'!$N$5:$N$14),0)=0,999999,F135/('3. Finansinės prielaidos'!F32+SUM(S$5:S$14)+F132+MAX(0,-E137)*IFERROR(SUMPRODUCT('2. Investicijos'!$N$5:$N$14,'2. Investicijos'!$O$5:$O$14/100)/SUM('2. Investicijos'!$N$5:$N$14),0))))</f>
        <v>#VALUE!</v>
      </c>
      <c r="G139" s="62" t="e" cm="1">
        <f t="array" ref="G139">IF(OR(G135="",G135&lt;=0,'3. Finansinės prielaidos'!G32=""),"",IF('3. Finansinės prielaidos'!G32+SUM(T$5:T$14)+G132+MAX(0,-F137)*IFERROR(SUMPRODUCT('2. Investicijos'!$N$5:$N$14,'2. Investicijos'!$O$5:$O$14/100)/SUM('2. Investicijos'!$N$5:$N$14),0)=0,999999,G135/('3. Finansinės prielaidos'!G32+SUM(T$5:T$14)+G132+MAX(0,-F137)*IFERROR(SUMPRODUCT('2. Investicijos'!$N$5:$N$14,'2. Investicijos'!$O$5:$O$14/100)/SUM('2. Investicijos'!$N$5:$N$14),0))))</f>
        <v>#VALUE!</v>
      </c>
      <c r="H139" s="62" t="e" cm="1">
        <f t="array" ref="H139">IF(OR(H135="",H135&lt;=0,'3. Finansinės prielaidos'!H32=""),"",IF('3. Finansinės prielaidos'!H32+SUM(U$5:U$14)+H132+MAX(0,-G137)*IFERROR(SUMPRODUCT('2. Investicijos'!$N$5:$N$14,'2. Investicijos'!$O$5:$O$14/100)/SUM('2. Investicijos'!$N$5:$N$14),0)=0,999999,H135/('3. Finansinės prielaidos'!H32+SUM(U$5:U$14)+H132+MAX(0,-G137)*IFERROR(SUMPRODUCT('2. Investicijos'!$N$5:$N$14,'2. Investicijos'!$O$5:$O$14/100)/SUM('2. Investicijos'!$N$5:$N$14),0))))</f>
        <v>#VALUE!</v>
      </c>
      <c r="I139" s="62" t="e" cm="1">
        <f t="array" ref="I139">IF(OR(I135="",I135&lt;=0,'3. Finansinės prielaidos'!I32=""),"",IF('3. Finansinės prielaidos'!I32+SUM(V$5:V$14)+I132+MAX(0,-H137)*IFERROR(SUMPRODUCT('2. Investicijos'!$N$5:$N$14,'2. Investicijos'!$O$5:$O$14/100)/SUM('2. Investicijos'!$N$5:$N$14),0)=0,999999,I135/('3. Finansinės prielaidos'!I32+SUM(V$5:V$14)+I132+MAX(0,-H137)*IFERROR(SUMPRODUCT('2. Investicijos'!$N$5:$N$14,'2. Investicijos'!$O$5:$O$14/100)/SUM('2. Investicijos'!$N$5:$N$14),0))))</f>
        <v>#VALUE!</v>
      </c>
      <c r="J139" s="62" t="e" cm="1">
        <f t="array" ref="J139">IF(OR(J135="",J135&lt;=0,'3. Finansinės prielaidos'!J32=""),"",IF('3. Finansinės prielaidos'!J32+SUM(W$5:W$14)+J132+MAX(0,-I137)*IFERROR(SUMPRODUCT('2. Investicijos'!$N$5:$N$14,'2. Investicijos'!$O$5:$O$14/100)/SUM('2. Investicijos'!$N$5:$N$14),0)=0,999999,J135/('3. Finansinės prielaidos'!J32+SUM(W$5:W$14)+J132+MAX(0,-I137)*IFERROR(SUMPRODUCT('2. Investicijos'!$N$5:$N$14,'2. Investicijos'!$O$5:$O$14/100)/SUM('2. Investicijos'!$N$5:$N$14),0))))</f>
        <v>#VALUE!</v>
      </c>
      <c r="K139" s="62" t="e" cm="1">
        <f t="array" ref="K139">IF(OR(K135="",K135&lt;=0,'3. Finansinės prielaidos'!K32=""),"",IF('3. Finansinės prielaidos'!K32+SUM(X$5:X$14)+K132+MAX(0,-J137)*IFERROR(SUMPRODUCT('2. Investicijos'!$N$5:$N$14,'2. Investicijos'!$O$5:$O$14/100)/SUM('2. Investicijos'!$N$5:$N$14),0)=0,999999,K135/('3. Finansinės prielaidos'!K32+SUM(X$5:X$14)+K132+MAX(0,-J137)*IFERROR(SUMPRODUCT('2. Investicijos'!$N$5:$N$14,'2. Investicijos'!$O$5:$O$14/100)/SUM('2. Investicijos'!$N$5:$N$14),0))))</f>
        <v>#VALUE!</v>
      </c>
      <c r="L139" s="62" t="e" cm="1">
        <f t="array" ref="L139">IF(OR(L135="",L135&lt;=0,'3. Finansinės prielaidos'!L32=""),"",IF('3. Finansinės prielaidos'!L32+SUM(Y$5:Y$14)+L132+MAX(0,-K137)*IFERROR(SUMPRODUCT('2. Investicijos'!$N$5:$N$14,'2. Investicijos'!$O$5:$O$14/100)/SUM('2. Investicijos'!$N$5:$N$14),0)=0,999999,L135/('3. Finansinės prielaidos'!L32+SUM(Y$5:Y$14)+L132+MAX(0,-K137)*IFERROR(SUMPRODUCT('2. Investicijos'!$N$5:$N$14,'2. Investicijos'!$O$5:$O$14/100)/SUM('2. Investicijos'!$N$5:$N$14),0))))</f>
        <v>#VALUE!</v>
      </c>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row>
    <row r="140" spans="1:45">
      <c r="A140" s="57">
        <v>11</v>
      </c>
      <c r="B140" s="57" t="s">
        <v>58</v>
      </c>
      <c r="C140" s="62">
        <f>SUM('4. Metinis CAPEX'!F$9:F$19)</f>
        <v>0</v>
      </c>
      <c r="D140" s="62">
        <f>SUM('4. Metinis CAPEX'!G$9:G$19)</f>
        <v>0</v>
      </c>
      <c r="E140" s="62">
        <f>SUM('4. Metinis CAPEX'!H$9:H$19)</f>
        <v>0</v>
      </c>
      <c r="F140" s="62">
        <f>SUM('4. Metinis CAPEX'!I$9:I$19)</f>
        <v>0</v>
      </c>
      <c r="G140" s="62">
        <f>SUM('4. Metinis CAPEX'!J$9:J$19)</f>
        <v>0</v>
      </c>
      <c r="H140" s="62">
        <f>SUM('4. Metinis CAPEX'!K$9:K$19)</f>
        <v>0</v>
      </c>
      <c r="I140" s="62">
        <f>SUM('4. Metinis CAPEX'!L$9:L$19)</f>
        <v>0</v>
      </c>
      <c r="J140" s="62">
        <f>SUM('4. Metinis CAPEX'!M$9:M$19)</f>
        <v>0</v>
      </c>
      <c r="K140" s="62">
        <f>SUM('4. Metinis CAPEX'!N$9:N$19)</f>
        <v>0</v>
      </c>
      <c r="L140" s="62">
        <f>SUM('4. Metinis CAPEX'!O$9:O$19)</f>
        <v>0</v>
      </c>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row>
    <row r="141" spans="1:45">
      <c r="A141" s="57">
        <v>11</v>
      </c>
      <c r="B141" s="57" t="s">
        <v>59</v>
      </c>
      <c r="C141" s="62">
        <f t="shared" ref="C141:L141" si="80">SUM(F$5:F$15)</f>
        <v>0</v>
      </c>
      <c r="D141" s="62">
        <f t="shared" si="80"/>
        <v>0</v>
      </c>
      <c r="E141" s="62">
        <f t="shared" si="80"/>
        <v>0</v>
      </c>
      <c r="F141" s="62">
        <f t="shared" si="80"/>
        <v>0</v>
      </c>
      <c r="G141" s="62">
        <f t="shared" si="80"/>
        <v>0</v>
      </c>
      <c r="H141" s="62">
        <f t="shared" si="80"/>
        <v>0</v>
      </c>
      <c r="I141" s="62">
        <f t="shared" si="80"/>
        <v>0</v>
      </c>
      <c r="J141" s="62">
        <f t="shared" si="80"/>
        <v>0</v>
      </c>
      <c r="K141" s="62">
        <f t="shared" si="80"/>
        <v>0</v>
      </c>
      <c r="L141" s="62">
        <f t="shared" si="80"/>
        <v>0</v>
      </c>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row>
    <row r="142" spans="1:45">
      <c r="A142" s="57">
        <v>11</v>
      </c>
      <c r="B142" s="57" t="s">
        <v>60</v>
      </c>
      <c r="C142" s="62">
        <f t="shared" ref="C142:L142" si="81">SUM(Z$5:Z$15)</f>
        <v>0</v>
      </c>
      <c r="D142" s="62">
        <f t="shared" si="81"/>
        <v>0</v>
      </c>
      <c r="E142" s="62">
        <f t="shared" si="81"/>
        <v>0</v>
      </c>
      <c r="F142" s="62">
        <f t="shared" si="81"/>
        <v>0</v>
      </c>
      <c r="G142" s="62">
        <f t="shared" si="81"/>
        <v>0</v>
      </c>
      <c r="H142" s="62">
        <f t="shared" si="81"/>
        <v>0</v>
      </c>
      <c r="I142" s="62">
        <f t="shared" si="81"/>
        <v>0</v>
      </c>
      <c r="J142" s="62">
        <f t="shared" si="81"/>
        <v>0</v>
      </c>
      <c r="K142" s="62">
        <f t="shared" si="81"/>
        <v>0</v>
      </c>
      <c r="L142" s="62">
        <f t="shared" si="81"/>
        <v>0</v>
      </c>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row>
    <row r="143" spans="1:45">
      <c r="A143" s="57">
        <v>11</v>
      </c>
      <c r="B143" s="57" t="s">
        <v>61</v>
      </c>
      <c r="C143" s="62">
        <f t="shared" ref="C143:L143" si="82">SUM(AJ$5:AJ$15)</f>
        <v>0</v>
      </c>
      <c r="D143" s="62">
        <f t="shared" si="82"/>
        <v>0</v>
      </c>
      <c r="E143" s="62">
        <f t="shared" si="82"/>
        <v>0</v>
      </c>
      <c r="F143" s="62">
        <f t="shared" si="82"/>
        <v>0</v>
      </c>
      <c r="G143" s="62">
        <f t="shared" si="82"/>
        <v>0</v>
      </c>
      <c r="H143" s="62">
        <f t="shared" si="82"/>
        <v>0</v>
      </c>
      <c r="I143" s="62">
        <f t="shared" si="82"/>
        <v>0</v>
      </c>
      <c r="J143" s="62">
        <f t="shared" si="82"/>
        <v>0</v>
      </c>
      <c r="K143" s="62">
        <f t="shared" si="82"/>
        <v>0</v>
      </c>
      <c r="L143" s="62">
        <f t="shared" si="82"/>
        <v>0</v>
      </c>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row>
    <row r="144" spans="1:45">
      <c r="A144" s="57">
        <v>11</v>
      </c>
      <c r="B144" s="57" t="s">
        <v>155</v>
      </c>
      <c r="C144" s="62" t="e" cm="1">
        <f t="array" ref="C144">SUMPRODUCT(--(2026&gt;'2. Investicijos'!$F$5:$F$15),--(2026&lt;='2. Investicijos'!$F$5:$F$15+'2. Investicijos'!$G$5:$G$15),IFERROR(('2. Investicijos'!$M$5:$M$15+'2. Investicijos'!$N$5:$N$15)/'2. Investicijos'!$G$5:$G$15,0))+SUMPRODUCT(--(2026&gt;'2. Investicijos'!$F$5:$F$15),--(2026&lt;='2. Investicijos'!$F$5:$F$15+'2. Investicijos'!$G$5:$G$15),IFERROR(('2. Investicijos'!$M$5:$M$15+'2. Investicijos'!$N$5:$N$15)*(1-((2026-'2. Investicijos'!$F$5:$F$15)-1)/'2. Investicijos'!$G$5:$G$15),0)*'5. 0% scenarijus'!$C$5)</f>
        <v>#VALUE!</v>
      </c>
      <c r="D144" s="62" t="e" cm="1">
        <f t="array" ref="D144">SUMPRODUCT(--(2027&gt;'2. Investicijos'!$F$5:$F$15),--(2027&lt;='2. Investicijos'!$F$5:$F$15+'2. Investicijos'!$G$5:$G$15),IFERROR(('2. Investicijos'!$M$5:$M$15+'2. Investicijos'!$N$5:$N$15)/'2. Investicijos'!$G$5:$G$15,0))+SUMPRODUCT(--(2027&gt;'2. Investicijos'!$F$5:$F$15),--(2027&lt;='2. Investicijos'!$F$5:$F$15+'2. Investicijos'!$G$5:$G$15),IFERROR(('2. Investicijos'!$M$5:$M$15+'2. Investicijos'!$N$5:$N$15)*(1-((2027-'2. Investicijos'!$F$5:$F$15)-1)/'2. Investicijos'!$G$5:$G$15),0)*'5. 0% scenarijus'!$C$5)</f>
        <v>#VALUE!</v>
      </c>
      <c r="E144" s="62" t="e" cm="1">
        <f t="array" ref="E144">SUMPRODUCT(--(2028&gt;'2. Investicijos'!$F$5:$F$15),--(2028&lt;='2. Investicijos'!$F$5:$F$15+'2. Investicijos'!$G$5:$G$15),IFERROR(('2. Investicijos'!$M$5:$M$15+'2. Investicijos'!$N$5:$N$15)/'2. Investicijos'!$G$5:$G$15,0))+SUMPRODUCT(--(2028&gt;'2. Investicijos'!$F$5:$F$15),--(2028&lt;='2. Investicijos'!$F$5:$F$15+'2. Investicijos'!$G$5:$G$15),IFERROR(('2. Investicijos'!$M$5:$M$15+'2. Investicijos'!$N$5:$N$15)*(1-((2028-'2. Investicijos'!$F$5:$F$15)-1)/'2. Investicijos'!$G$5:$G$15),0)*'5. 0% scenarijus'!$C$5)</f>
        <v>#VALUE!</v>
      </c>
      <c r="F144" s="62" t="e" cm="1">
        <f t="array" ref="F144">SUMPRODUCT(--(2029&gt;'2. Investicijos'!$F$5:$F$15),--(2029&lt;='2. Investicijos'!$F$5:$F$15+'2. Investicijos'!$G$5:$G$15),IFERROR(('2. Investicijos'!$M$5:$M$15+'2. Investicijos'!$N$5:$N$15)/'2. Investicijos'!$G$5:$G$15,0))+SUMPRODUCT(--(2029&gt;'2. Investicijos'!$F$5:$F$15),--(2029&lt;='2. Investicijos'!$F$5:$F$15+'2. Investicijos'!$G$5:$G$15),IFERROR(('2. Investicijos'!$M$5:$M$15+'2. Investicijos'!$N$5:$N$15)*(1-((2029-'2. Investicijos'!$F$5:$F$15)-1)/'2. Investicijos'!$G$5:$G$15),0)*'5. 0% scenarijus'!$C$5)</f>
        <v>#VALUE!</v>
      </c>
      <c r="G144" s="62" t="e" cm="1">
        <f t="array" ref="G144">SUMPRODUCT(--(2030&gt;'2. Investicijos'!$F$5:$F$15),--(2030&lt;='2. Investicijos'!$F$5:$F$15+'2. Investicijos'!$G$5:$G$15),IFERROR(('2. Investicijos'!$M$5:$M$15+'2. Investicijos'!$N$5:$N$15)/'2. Investicijos'!$G$5:$G$15,0))+SUMPRODUCT(--(2030&gt;'2. Investicijos'!$F$5:$F$15),--(2030&lt;='2. Investicijos'!$F$5:$F$15+'2. Investicijos'!$G$5:$G$15),IFERROR(('2. Investicijos'!$M$5:$M$15+'2. Investicijos'!$N$5:$N$15)*(1-((2030-'2. Investicijos'!$F$5:$F$15)-1)/'2. Investicijos'!$G$5:$G$15),0)*'5. 0% scenarijus'!$C$5)</f>
        <v>#VALUE!</v>
      </c>
      <c r="H144" s="62" t="e" cm="1">
        <f t="array" ref="H144">SUMPRODUCT(--(2031&gt;'2. Investicijos'!$F$5:$F$15),--(2031&lt;='2. Investicijos'!$F$5:$F$15+'2. Investicijos'!$G$5:$G$15),IFERROR(('2. Investicijos'!$M$5:$M$15+'2. Investicijos'!$N$5:$N$15)/'2. Investicijos'!$G$5:$G$15,0))+SUMPRODUCT(--(2031&gt;'2. Investicijos'!$F$5:$F$15),--(2031&lt;='2. Investicijos'!$F$5:$F$15+'2. Investicijos'!$G$5:$G$15),IFERROR(('2. Investicijos'!$M$5:$M$15+'2. Investicijos'!$N$5:$N$15)*(1-((2031-'2. Investicijos'!$F$5:$F$15)-1)/'2. Investicijos'!$G$5:$G$15),0)*'5. 0% scenarijus'!$C$5)</f>
        <v>#VALUE!</v>
      </c>
      <c r="I144" s="62" t="e" cm="1">
        <f t="array" ref="I144">SUMPRODUCT(--(2032&gt;'2. Investicijos'!$F$5:$F$15),--(2032&lt;='2. Investicijos'!$F$5:$F$15+'2. Investicijos'!$G$5:$G$15),IFERROR(('2. Investicijos'!$M$5:$M$15+'2. Investicijos'!$N$5:$N$15)/'2. Investicijos'!$G$5:$G$15,0))+SUMPRODUCT(--(2032&gt;'2. Investicijos'!$F$5:$F$15),--(2032&lt;='2. Investicijos'!$F$5:$F$15+'2. Investicijos'!$G$5:$G$15),IFERROR(('2. Investicijos'!$M$5:$M$15+'2. Investicijos'!$N$5:$N$15)*(1-((2032-'2. Investicijos'!$F$5:$F$15)-1)/'2. Investicijos'!$G$5:$G$15),0)*'5. 0% scenarijus'!$C$5)</f>
        <v>#VALUE!</v>
      </c>
      <c r="J144" s="62" t="e" cm="1">
        <f t="array" ref="J144">SUMPRODUCT(--(2033&gt;'2. Investicijos'!$F$5:$F$15),--(2033&lt;='2. Investicijos'!$F$5:$F$15+'2. Investicijos'!$G$5:$G$15),IFERROR(('2. Investicijos'!$M$5:$M$15+'2. Investicijos'!$N$5:$N$15)/'2. Investicijos'!$G$5:$G$15,0))+SUMPRODUCT(--(2033&gt;'2. Investicijos'!$F$5:$F$15),--(2033&lt;='2. Investicijos'!$F$5:$F$15+'2. Investicijos'!$G$5:$G$15),IFERROR(('2. Investicijos'!$M$5:$M$15+'2. Investicijos'!$N$5:$N$15)*(1-((2033-'2. Investicijos'!$F$5:$F$15)-1)/'2. Investicijos'!$G$5:$G$15),0)*'5. 0% scenarijus'!$C$5)</f>
        <v>#VALUE!</v>
      </c>
      <c r="K144" s="62" t="e" cm="1">
        <f t="array" ref="K144">SUMPRODUCT(--(2034&gt;'2. Investicijos'!$F$5:$F$15),--(2034&lt;='2. Investicijos'!$F$5:$F$15+'2. Investicijos'!$G$5:$G$15),IFERROR(('2. Investicijos'!$M$5:$M$15+'2. Investicijos'!$N$5:$N$15)/'2. Investicijos'!$G$5:$G$15,0))+SUMPRODUCT(--(2034&gt;'2. Investicijos'!$F$5:$F$15),--(2034&lt;='2. Investicijos'!$F$5:$F$15+'2. Investicijos'!$G$5:$G$15),IFERROR(('2. Investicijos'!$M$5:$M$15+'2. Investicijos'!$N$5:$N$15)*(1-((2034-'2. Investicijos'!$F$5:$F$15)-1)/'2. Investicijos'!$G$5:$G$15),0)*'5. 0% scenarijus'!$C$5)</f>
        <v>#VALUE!</v>
      </c>
      <c r="L144" s="62" t="e" cm="1">
        <f t="array" ref="L144">SUMPRODUCT(--(2035&gt;'2. Investicijos'!$F$5:$F$15),--(2035&lt;='2. Investicijos'!$F$5:$F$15+'2. Investicijos'!$G$5:$G$15),IFERROR(('2. Investicijos'!$M$5:$M$15+'2. Investicijos'!$N$5:$N$15)/'2. Investicijos'!$G$5:$G$15,0))+SUMPRODUCT(--(2035&gt;'2. Investicijos'!$F$5:$F$15),--(2035&lt;='2. Investicijos'!$F$5:$F$15+'2. Investicijos'!$G$5:$G$15),IFERROR(('2. Investicijos'!$M$5:$M$15+'2. Investicijos'!$N$5:$N$15)*(1-((2035-'2. Investicijos'!$F$5:$F$15)-1)/'2. Investicijos'!$G$5:$G$15),0)*'5. 0% scenarijus'!$C$5)</f>
        <v>#VALUE!</v>
      </c>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row>
    <row r="145" spans="1:45">
      <c r="A145" s="57">
        <v>11</v>
      </c>
      <c r="B145" s="57" t="s">
        <v>62</v>
      </c>
      <c r="C145" s="62" t="e">
        <f>'3. Finansinės prielaidos'!C29+C144</f>
        <v>#VALUE!</v>
      </c>
      <c r="D145" s="62" t="e">
        <f>'3. Finansinės prielaidos'!D29+D144</f>
        <v>#VALUE!</v>
      </c>
      <c r="E145" s="62" t="e">
        <f>'3. Finansinės prielaidos'!E29+E144</f>
        <v>#VALUE!</v>
      </c>
      <c r="F145" s="62" t="e">
        <f>'3. Finansinės prielaidos'!F29+F144</f>
        <v>#VALUE!</v>
      </c>
      <c r="G145" s="62" t="e">
        <f>'3. Finansinės prielaidos'!G29+G144</f>
        <v>#VALUE!</v>
      </c>
      <c r="H145" s="62" t="e">
        <f>'3. Finansinės prielaidos'!H29+H144</f>
        <v>#VALUE!</v>
      </c>
      <c r="I145" s="62" t="e">
        <f>'3. Finansinės prielaidos'!I29+I144</f>
        <v>#VALUE!</v>
      </c>
      <c r="J145" s="62" t="e">
        <f>'3. Finansinės prielaidos'!J29+J144</f>
        <v>#VALUE!</v>
      </c>
      <c r="K145" s="62" t="e">
        <f>'3. Finansinės prielaidos'!K29+K144</f>
        <v>#VALUE!</v>
      </c>
      <c r="L145" s="62" t="e">
        <f>'3. Finansinės prielaidos'!L29+L144</f>
        <v>#VALUE!</v>
      </c>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row>
    <row r="146" spans="1:45">
      <c r="A146" s="57">
        <v>11</v>
      </c>
      <c r="B146" s="57" t="s">
        <v>159</v>
      </c>
      <c r="C146" s="62">
        <f>'3. Finansinės prielaidos'!C30+C143</f>
        <v>0</v>
      </c>
      <c r="D146" s="62">
        <f>'3. Finansinės prielaidos'!D30+D143</f>
        <v>0</v>
      </c>
      <c r="E146" s="62">
        <f>'3. Finansinės prielaidos'!E30+E143</f>
        <v>0</v>
      </c>
      <c r="F146" s="62">
        <f>'3. Finansinės prielaidos'!F30+F143</f>
        <v>0</v>
      </c>
      <c r="G146" s="62">
        <f>'3. Finansinės prielaidos'!G30+G143</f>
        <v>0</v>
      </c>
      <c r="H146" s="62">
        <f>'3. Finansinės prielaidos'!H30+H143</f>
        <v>0</v>
      </c>
      <c r="I146" s="62">
        <f>'3. Finansinės prielaidos'!I30+I143</f>
        <v>0</v>
      </c>
      <c r="J146" s="62">
        <f>'3. Finansinės prielaidos'!J30+J143</f>
        <v>0</v>
      </c>
      <c r="K146" s="62">
        <f>'3. Finansinės prielaidos'!K30+K143</f>
        <v>0</v>
      </c>
      <c r="L146" s="62">
        <f>'3. Finansinės prielaidos'!L30+L143</f>
        <v>0</v>
      </c>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row>
    <row r="147" spans="1:45">
      <c r="A147" s="57">
        <v>11</v>
      </c>
      <c r="B147" s="57" t="s">
        <v>160</v>
      </c>
      <c r="C147" s="62" t="e" cm="1">
        <f t="array" ref="C147">'3. Finansinės prielaidos'!C31+C144+C141+SUMPRODUCT('4. Metinis CAPEX'!F$9:F$19,IFERROR(('2. Investicijos'!$I$5:$I$15+'2. Investicijos'!$J$5:$J$15+'2. Investicijos'!$K$5:$K$15+'2. Investicijos'!$L$5:$L$15)/'2. Investicijos'!$H$5:$H$15,0))-C140-SUM(P$5:P$15)-C142-0</f>
        <v>#VALUE!</v>
      </c>
      <c r="D147" s="62" t="e" cm="1">
        <f t="array" ref="D147">C147+('3. Finansinės prielaidos'!D31-'3. Finansinės prielaidos'!C31)+D144+D141+SUMPRODUCT('4. Metinis CAPEX'!G$9:G$19,IFERROR(('2. Investicijos'!$I$5:$I$15+'2. Investicijos'!$J$5:$J$15+'2. Investicijos'!$K$5:$K$15+'2. Investicijos'!$L$5:$L$15)/'2. Investicijos'!$H$5:$H$15,0))-D140-SUM(Q$5:Q$15)-D142-MAX(0,-C147)*IFERROR(SUMPRODUCT('2. Investicijos'!$N$5:$N$15,'2. Investicijos'!$O$5:$O$15/100)/SUM('2. Investicijos'!$N$5:$N$15),0)</f>
        <v>#VALUE!</v>
      </c>
      <c r="E147" s="62" t="e" cm="1">
        <f t="array" ref="E147">D147+('3. Finansinės prielaidos'!E31-'3. Finansinės prielaidos'!D31)+E144+E141+SUMPRODUCT('4. Metinis CAPEX'!H$9:H$19,IFERROR(('2. Investicijos'!$I$5:$I$15+'2. Investicijos'!$J$5:$J$15+'2. Investicijos'!$K$5:$K$15+'2. Investicijos'!$L$5:$L$15)/'2. Investicijos'!$H$5:$H$15,0))-E140-SUM(R$5:R$15)-E142-MAX(0,-D147)*IFERROR(SUMPRODUCT('2. Investicijos'!$N$5:$N$15,'2. Investicijos'!$O$5:$O$15/100)/SUM('2. Investicijos'!$N$5:$N$15),0)</f>
        <v>#VALUE!</v>
      </c>
      <c r="F147" s="62" t="e" cm="1">
        <f t="array" ref="F147">E147+('3. Finansinės prielaidos'!F31-'3. Finansinės prielaidos'!E31)+F144+F141+SUMPRODUCT('4. Metinis CAPEX'!I$9:I$19,IFERROR(('2. Investicijos'!$I$5:$I$15+'2. Investicijos'!$J$5:$J$15+'2. Investicijos'!$K$5:$K$15+'2. Investicijos'!$L$5:$L$15)/'2. Investicijos'!$H$5:$H$15,0))-F140-SUM(S$5:S$15)-F142-MAX(0,-E147)*IFERROR(SUMPRODUCT('2. Investicijos'!$N$5:$N$15,'2. Investicijos'!$O$5:$O$15/100)/SUM('2. Investicijos'!$N$5:$N$15),0)</f>
        <v>#VALUE!</v>
      </c>
      <c r="G147" s="62" t="e" cm="1">
        <f t="array" ref="G147">F147+('3. Finansinės prielaidos'!G31-'3. Finansinės prielaidos'!F31)+G144+G141+SUMPRODUCT('4. Metinis CAPEX'!J$9:J$19,IFERROR(('2. Investicijos'!$I$5:$I$15+'2. Investicijos'!$J$5:$J$15+'2. Investicijos'!$K$5:$K$15+'2. Investicijos'!$L$5:$L$15)/'2. Investicijos'!$H$5:$H$15,0))-G140-SUM(T$5:T$15)-G142-MAX(0,-F147)*IFERROR(SUMPRODUCT('2. Investicijos'!$N$5:$N$15,'2. Investicijos'!$O$5:$O$15/100)/SUM('2. Investicijos'!$N$5:$N$15),0)</f>
        <v>#VALUE!</v>
      </c>
      <c r="H147" s="62" t="e" cm="1">
        <f t="array" ref="H147">G147+('3. Finansinės prielaidos'!H31-'3. Finansinės prielaidos'!G31)+H144+H141+SUMPRODUCT('4. Metinis CAPEX'!K$9:K$19,IFERROR(('2. Investicijos'!$I$5:$I$15+'2. Investicijos'!$J$5:$J$15+'2. Investicijos'!$K$5:$K$15+'2. Investicijos'!$L$5:$L$15)/'2. Investicijos'!$H$5:$H$15,0))-H140-SUM(U$5:U$15)-H142-MAX(0,-G147)*IFERROR(SUMPRODUCT('2. Investicijos'!$N$5:$N$15,'2. Investicijos'!$O$5:$O$15/100)/SUM('2. Investicijos'!$N$5:$N$15),0)</f>
        <v>#VALUE!</v>
      </c>
      <c r="I147" s="62" t="e" cm="1">
        <f t="array" ref="I147">H147+('3. Finansinės prielaidos'!I31-'3. Finansinės prielaidos'!H31)+I144+I141+SUMPRODUCT('4. Metinis CAPEX'!L$9:L$19,IFERROR(('2. Investicijos'!$I$5:$I$15+'2. Investicijos'!$J$5:$J$15+'2. Investicijos'!$K$5:$K$15+'2. Investicijos'!$L$5:$L$15)/'2. Investicijos'!$H$5:$H$15,0))-I140-SUM(V$5:V$15)-I142-MAX(0,-H147)*IFERROR(SUMPRODUCT('2. Investicijos'!$N$5:$N$15,'2. Investicijos'!$O$5:$O$15/100)/SUM('2. Investicijos'!$N$5:$N$15),0)</f>
        <v>#VALUE!</v>
      </c>
      <c r="J147" s="62" t="e" cm="1">
        <f t="array" ref="J147">I147+('3. Finansinės prielaidos'!J31-'3. Finansinės prielaidos'!I31)+J144+J141+SUMPRODUCT('4. Metinis CAPEX'!M$9:M$19,IFERROR(('2. Investicijos'!$I$5:$I$15+'2. Investicijos'!$J$5:$J$15+'2. Investicijos'!$K$5:$K$15+'2. Investicijos'!$L$5:$L$15)/'2. Investicijos'!$H$5:$H$15,0))-J140-SUM(W$5:W$15)-J142-MAX(0,-I147)*IFERROR(SUMPRODUCT('2. Investicijos'!$N$5:$N$15,'2. Investicijos'!$O$5:$O$15/100)/SUM('2. Investicijos'!$N$5:$N$15),0)</f>
        <v>#VALUE!</v>
      </c>
      <c r="K147" s="62" t="e" cm="1">
        <f t="array" ref="K147">J147+('3. Finansinės prielaidos'!K31-'3. Finansinės prielaidos'!J31)+K144+K141+SUMPRODUCT('4. Metinis CAPEX'!N$9:N$19,IFERROR(('2. Investicijos'!$I$5:$I$15+'2. Investicijos'!$J$5:$J$15+'2. Investicijos'!$K$5:$K$15+'2. Investicijos'!$L$5:$L$15)/'2. Investicijos'!$H$5:$H$15,0))-K140-SUM(X$5:X$15)-K142-MAX(0,-J147)*IFERROR(SUMPRODUCT('2. Investicijos'!$N$5:$N$15,'2. Investicijos'!$O$5:$O$15/100)/SUM('2. Investicijos'!$N$5:$N$15),0)</f>
        <v>#VALUE!</v>
      </c>
      <c r="L147" s="62" t="e" cm="1">
        <f t="array" ref="L147">K147+('3. Finansinės prielaidos'!L31-'3. Finansinės prielaidos'!K31)+L144+L141+SUMPRODUCT('4. Metinis CAPEX'!O$9:O$19,IFERROR(('2. Investicijos'!$I$5:$I$15+'2. Investicijos'!$J$5:$J$15+'2. Investicijos'!$K$5:$K$15+'2. Investicijos'!$L$5:$L$15)/'2. Investicijos'!$H$5:$H$15,0))-L140-SUM(Y$5:Y$15)-L142-MAX(0,-K147)*IFERROR(SUMPRODUCT('2. Investicijos'!$N$5:$N$15,'2. Investicijos'!$O$5:$O$15/100)/SUM('2. Investicijos'!$N$5:$N$15),0)</f>
        <v>#VALUE!</v>
      </c>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row>
    <row r="148" spans="1:45">
      <c r="A148" s="57">
        <v>11</v>
      </c>
      <c r="B148" s="57" t="s">
        <v>23</v>
      </c>
      <c r="C148" s="62" t="e">
        <f t="shared" ref="C148:L148" si="83">IF(OR(C145="",C146="",C147="",C145&lt;=0),"",(C146-C147)/C145)</f>
        <v>#VALUE!</v>
      </c>
      <c r="D148" s="62" t="e">
        <f t="shared" si="83"/>
        <v>#VALUE!</v>
      </c>
      <c r="E148" s="62" t="e">
        <f t="shared" si="83"/>
        <v>#VALUE!</v>
      </c>
      <c r="F148" s="62" t="e">
        <f t="shared" si="83"/>
        <v>#VALUE!</v>
      </c>
      <c r="G148" s="62" t="e">
        <f t="shared" si="83"/>
        <v>#VALUE!</v>
      </c>
      <c r="H148" s="62" t="e">
        <f t="shared" si="83"/>
        <v>#VALUE!</v>
      </c>
      <c r="I148" s="62" t="e">
        <f t="shared" si="83"/>
        <v>#VALUE!</v>
      </c>
      <c r="J148" s="62" t="e">
        <f t="shared" si="83"/>
        <v>#VALUE!</v>
      </c>
      <c r="K148" s="62" t="e">
        <f t="shared" si="83"/>
        <v>#VALUE!</v>
      </c>
      <c r="L148" s="62" t="e">
        <f t="shared" si="83"/>
        <v>#VALUE!</v>
      </c>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row>
    <row r="149" spans="1:45">
      <c r="A149" s="57">
        <v>11</v>
      </c>
      <c r="B149" s="57" t="s">
        <v>24</v>
      </c>
      <c r="C149" s="62" t="e">
        <f>IF(OR(C145="",C145&lt;=0,'3. Finansinės prielaidos'!C32=""),"",IF('3. Finansinės prielaidos'!C32+SUM(P$5:P$15)+C142+0=0,999999,C145/('3. Finansinės prielaidos'!C32+SUM(P$5:P$15)+C142+0)))</f>
        <v>#VALUE!</v>
      </c>
      <c r="D149" s="62" t="e" cm="1">
        <f t="array" ref="D149">IF(OR(D145="",D145&lt;=0,'3. Finansinės prielaidos'!D32=""),"",IF('3. Finansinės prielaidos'!D32+SUM(Q$5:Q$15)+D142+MAX(0,-C147)*IFERROR(SUMPRODUCT('2. Investicijos'!$N$5:$N$15,'2. Investicijos'!$O$5:$O$15/100)/SUM('2. Investicijos'!$N$5:$N$15),0)=0,999999,D145/('3. Finansinės prielaidos'!D32+SUM(Q$5:Q$15)+D142+MAX(0,-C147)*IFERROR(SUMPRODUCT('2. Investicijos'!$N$5:$N$15,'2. Investicijos'!$O$5:$O$15/100)/SUM('2. Investicijos'!$N$5:$N$15),0))))</f>
        <v>#VALUE!</v>
      </c>
      <c r="E149" s="62" t="e" cm="1">
        <f t="array" ref="E149">IF(OR(E145="",E145&lt;=0,'3. Finansinės prielaidos'!E32=""),"",IF('3. Finansinės prielaidos'!E32+SUM(R$5:R$15)+E142+MAX(0,-D147)*IFERROR(SUMPRODUCT('2. Investicijos'!$N$5:$N$15,'2. Investicijos'!$O$5:$O$15/100)/SUM('2. Investicijos'!$N$5:$N$15),0)=0,999999,E145/('3. Finansinės prielaidos'!E32+SUM(R$5:R$15)+E142+MAX(0,-D147)*IFERROR(SUMPRODUCT('2. Investicijos'!$N$5:$N$15,'2. Investicijos'!$O$5:$O$15/100)/SUM('2. Investicijos'!$N$5:$N$15),0))))</f>
        <v>#VALUE!</v>
      </c>
      <c r="F149" s="62" t="e" cm="1">
        <f t="array" ref="F149">IF(OR(F145="",F145&lt;=0,'3. Finansinės prielaidos'!F32=""),"",IF('3. Finansinės prielaidos'!F32+SUM(S$5:S$15)+F142+MAX(0,-E147)*IFERROR(SUMPRODUCT('2. Investicijos'!$N$5:$N$15,'2. Investicijos'!$O$5:$O$15/100)/SUM('2. Investicijos'!$N$5:$N$15),0)=0,999999,F145/('3. Finansinės prielaidos'!F32+SUM(S$5:S$15)+F142+MAX(0,-E147)*IFERROR(SUMPRODUCT('2. Investicijos'!$N$5:$N$15,'2. Investicijos'!$O$5:$O$15/100)/SUM('2. Investicijos'!$N$5:$N$15),0))))</f>
        <v>#VALUE!</v>
      </c>
      <c r="G149" s="62" t="e" cm="1">
        <f t="array" ref="G149">IF(OR(G145="",G145&lt;=0,'3. Finansinės prielaidos'!G32=""),"",IF('3. Finansinės prielaidos'!G32+SUM(T$5:T$15)+G142+MAX(0,-F147)*IFERROR(SUMPRODUCT('2. Investicijos'!$N$5:$N$15,'2. Investicijos'!$O$5:$O$15/100)/SUM('2. Investicijos'!$N$5:$N$15),0)=0,999999,G145/('3. Finansinės prielaidos'!G32+SUM(T$5:T$15)+G142+MAX(0,-F147)*IFERROR(SUMPRODUCT('2. Investicijos'!$N$5:$N$15,'2. Investicijos'!$O$5:$O$15/100)/SUM('2. Investicijos'!$N$5:$N$15),0))))</f>
        <v>#VALUE!</v>
      </c>
      <c r="H149" s="62" t="e" cm="1">
        <f t="array" ref="H149">IF(OR(H145="",H145&lt;=0,'3. Finansinės prielaidos'!H32=""),"",IF('3. Finansinės prielaidos'!H32+SUM(U$5:U$15)+H142+MAX(0,-G147)*IFERROR(SUMPRODUCT('2. Investicijos'!$N$5:$N$15,'2. Investicijos'!$O$5:$O$15/100)/SUM('2. Investicijos'!$N$5:$N$15),0)=0,999999,H145/('3. Finansinės prielaidos'!H32+SUM(U$5:U$15)+H142+MAX(0,-G147)*IFERROR(SUMPRODUCT('2. Investicijos'!$N$5:$N$15,'2. Investicijos'!$O$5:$O$15/100)/SUM('2. Investicijos'!$N$5:$N$15),0))))</f>
        <v>#VALUE!</v>
      </c>
      <c r="I149" s="62" t="e" cm="1">
        <f t="array" ref="I149">IF(OR(I145="",I145&lt;=0,'3. Finansinės prielaidos'!I32=""),"",IF('3. Finansinės prielaidos'!I32+SUM(V$5:V$15)+I142+MAX(0,-H147)*IFERROR(SUMPRODUCT('2. Investicijos'!$N$5:$N$15,'2. Investicijos'!$O$5:$O$15/100)/SUM('2. Investicijos'!$N$5:$N$15),0)=0,999999,I145/('3. Finansinės prielaidos'!I32+SUM(V$5:V$15)+I142+MAX(0,-H147)*IFERROR(SUMPRODUCT('2. Investicijos'!$N$5:$N$15,'2. Investicijos'!$O$5:$O$15/100)/SUM('2. Investicijos'!$N$5:$N$15),0))))</f>
        <v>#VALUE!</v>
      </c>
      <c r="J149" s="62" t="e" cm="1">
        <f t="array" ref="J149">IF(OR(J145="",J145&lt;=0,'3. Finansinės prielaidos'!J32=""),"",IF('3. Finansinės prielaidos'!J32+SUM(W$5:W$15)+J142+MAX(0,-I147)*IFERROR(SUMPRODUCT('2. Investicijos'!$N$5:$N$15,'2. Investicijos'!$O$5:$O$15/100)/SUM('2. Investicijos'!$N$5:$N$15),0)=0,999999,J145/('3. Finansinės prielaidos'!J32+SUM(W$5:W$15)+J142+MAX(0,-I147)*IFERROR(SUMPRODUCT('2. Investicijos'!$N$5:$N$15,'2. Investicijos'!$O$5:$O$15/100)/SUM('2. Investicijos'!$N$5:$N$15),0))))</f>
        <v>#VALUE!</v>
      </c>
      <c r="K149" s="62" t="e" cm="1">
        <f t="array" ref="K149">IF(OR(K145="",K145&lt;=0,'3. Finansinės prielaidos'!K32=""),"",IF('3. Finansinės prielaidos'!K32+SUM(X$5:X$15)+K142+MAX(0,-J147)*IFERROR(SUMPRODUCT('2. Investicijos'!$N$5:$N$15,'2. Investicijos'!$O$5:$O$15/100)/SUM('2. Investicijos'!$N$5:$N$15),0)=0,999999,K145/('3. Finansinės prielaidos'!K32+SUM(X$5:X$15)+K142+MAX(0,-J147)*IFERROR(SUMPRODUCT('2. Investicijos'!$N$5:$N$15,'2. Investicijos'!$O$5:$O$15/100)/SUM('2. Investicijos'!$N$5:$N$15),0))))</f>
        <v>#VALUE!</v>
      </c>
      <c r="L149" s="62" t="e" cm="1">
        <f t="array" ref="L149">IF(OR(L145="",L145&lt;=0,'3. Finansinės prielaidos'!L32=""),"",IF('3. Finansinės prielaidos'!L32+SUM(Y$5:Y$15)+L142+MAX(0,-K147)*IFERROR(SUMPRODUCT('2. Investicijos'!$N$5:$N$15,'2. Investicijos'!$O$5:$O$15/100)/SUM('2. Investicijos'!$N$5:$N$15),0)=0,999999,L145/('3. Finansinės prielaidos'!L32+SUM(Y$5:Y$15)+L142+MAX(0,-K147)*IFERROR(SUMPRODUCT('2. Investicijos'!$N$5:$N$15,'2. Investicijos'!$O$5:$O$15/100)/SUM('2. Investicijos'!$N$5:$N$15),0))))</f>
        <v>#VALUE!</v>
      </c>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row>
    <row r="150" spans="1:45">
      <c r="A150" s="57">
        <v>12</v>
      </c>
      <c r="B150" s="57" t="s">
        <v>58</v>
      </c>
      <c r="C150" s="62">
        <f>SUM('4. Metinis CAPEX'!F$9:F$20)</f>
        <v>0</v>
      </c>
      <c r="D150" s="62">
        <f>SUM('4. Metinis CAPEX'!G$9:G$20)</f>
        <v>0</v>
      </c>
      <c r="E150" s="62">
        <f>SUM('4. Metinis CAPEX'!H$9:H$20)</f>
        <v>0</v>
      </c>
      <c r="F150" s="62">
        <f>SUM('4. Metinis CAPEX'!I$9:I$20)</f>
        <v>0</v>
      </c>
      <c r="G150" s="62">
        <f>SUM('4. Metinis CAPEX'!J$9:J$20)</f>
        <v>0</v>
      </c>
      <c r="H150" s="62">
        <f>SUM('4. Metinis CAPEX'!K$9:K$20)</f>
        <v>0</v>
      </c>
      <c r="I150" s="62">
        <f>SUM('4. Metinis CAPEX'!L$9:L$20)</f>
        <v>0</v>
      </c>
      <c r="J150" s="62">
        <f>SUM('4. Metinis CAPEX'!M$9:M$20)</f>
        <v>0</v>
      </c>
      <c r="K150" s="62">
        <f>SUM('4. Metinis CAPEX'!N$9:N$20)</f>
        <v>0</v>
      </c>
      <c r="L150" s="62">
        <f>SUM('4. Metinis CAPEX'!O$9:O$20)</f>
        <v>0</v>
      </c>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row>
    <row r="151" spans="1:45">
      <c r="A151" s="57">
        <v>12</v>
      </c>
      <c r="B151" s="57" t="s">
        <v>59</v>
      </c>
      <c r="C151" s="62">
        <f t="shared" ref="C151:L151" si="84">SUM(F$5:F$16)</f>
        <v>0</v>
      </c>
      <c r="D151" s="62">
        <f t="shared" si="84"/>
        <v>0</v>
      </c>
      <c r="E151" s="62">
        <f t="shared" si="84"/>
        <v>0</v>
      </c>
      <c r="F151" s="62">
        <f t="shared" si="84"/>
        <v>0</v>
      </c>
      <c r="G151" s="62">
        <f t="shared" si="84"/>
        <v>0</v>
      </c>
      <c r="H151" s="62">
        <f t="shared" si="84"/>
        <v>0</v>
      </c>
      <c r="I151" s="62">
        <f t="shared" si="84"/>
        <v>0</v>
      </c>
      <c r="J151" s="62">
        <f t="shared" si="84"/>
        <v>0</v>
      </c>
      <c r="K151" s="62">
        <f t="shared" si="84"/>
        <v>0</v>
      </c>
      <c r="L151" s="62">
        <f t="shared" si="84"/>
        <v>0</v>
      </c>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row>
    <row r="152" spans="1:45">
      <c r="A152" s="57">
        <v>12</v>
      </c>
      <c r="B152" s="57" t="s">
        <v>60</v>
      </c>
      <c r="C152" s="62">
        <f t="shared" ref="C152:L152" si="85">SUM(Z$5:Z$16)</f>
        <v>0</v>
      </c>
      <c r="D152" s="62">
        <f t="shared" si="85"/>
        <v>0</v>
      </c>
      <c r="E152" s="62">
        <f t="shared" si="85"/>
        <v>0</v>
      </c>
      <c r="F152" s="62">
        <f t="shared" si="85"/>
        <v>0</v>
      </c>
      <c r="G152" s="62">
        <f t="shared" si="85"/>
        <v>0</v>
      </c>
      <c r="H152" s="62">
        <f t="shared" si="85"/>
        <v>0</v>
      </c>
      <c r="I152" s="62">
        <f t="shared" si="85"/>
        <v>0</v>
      </c>
      <c r="J152" s="62">
        <f t="shared" si="85"/>
        <v>0</v>
      </c>
      <c r="K152" s="62">
        <f t="shared" si="85"/>
        <v>0</v>
      </c>
      <c r="L152" s="62">
        <f t="shared" si="85"/>
        <v>0</v>
      </c>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row>
    <row r="153" spans="1:45">
      <c r="A153" s="57">
        <v>12</v>
      </c>
      <c r="B153" s="57" t="s">
        <v>61</v>
      </c>
      <c r="C153" s="62">
        <f t="shared" ref="C153:L153" si="86">SUM(AJ$5:AJ$16)</f>
        <v>0</v>
      </c>
      <c r="D153" s="62">
        <f t="shared" si="86"/>
        <v>0</v>
      </c>
      <c r="E153" s="62">
        <f t="shared" si="86"/>
        <v>0</v>
      </c>
      <c r="F153" s="62">
        <f t="shared" si="86"/>
        <v>0</v>
      </c>
      <c r="G153" s="62">
        <f t="shared" si="86"/>
        <v>0</v>
      </c>
      <c r="H153" s="62">
        <f t="shared" si="86"/>
        <v>0</v>
      </c>
      <c r="I153" s="62">
        <f t="shared" si="86"/>
        <v>0</v>
      </c>
      <c r="J153" s="62">
        <f t="shared" si="86"/>
        <v>0</v>
      </c>
      <c r="K153" s="62">
        <f t="shared" si="86"/>
        <v>0</v>
      </c>
      <c r="L153" s="62">
        <f t="shared" si="86"/>
        <v>0</v>
      </c>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row>
    <row r="154" spans="1:45">
      <c r="A154" s="57">
        <v>12</v>
      </c>
      <c r="B154" s="57" t="s">
        <v>155</v>
      </c>
      <c r="C154" s="62" t="e" cm="1">
        <f t="array" ref="C154">SUMPRODUCT(--(2026&gt;'2. Investicijos'!$F$5:$F$16),--(2026&lt;='2. Investicijos'!$F$5:$F$16+'2. Investicijos'!$G$5:$G$16),IFERROR(('2. Investicijos'!$M$5:$M$16+'2. Investicijos'!$N$5:$N$16)/'2. Investicijos'!$G$5:$G$16,0))+SUMPRODUCT(--(2026&gt;'2. Investicijos'!$F$5:$F$16),--(2026&lt;='2. Investicijos'!$F$5:$F$16+'2. Investicijos'!$G$5:$G$16),IFERROR(('2. Investicijos'!$M$5:$M$16+'2. Investicijos'!$N$5:$N$16)*(1-((2026-'2. Investicijos'!$F$5:$F$16)-1)/'2. Investicijos'!$G$5:$G$16),0)*'5. 0% scenarijus'!$C$5)</f>
        <v>#VALUE!</v>
      </c>
      <c r="D154" s="62" t="e" cm="1">
        <f t="array" ref="D154">SUMPRODUCT(--(2027&gt;'2. Investicijos'!$F$5:$F$16),--(2027&lt;='2. Investicijos'!$F$5:$F$16+'2. Investicijos'!$G$5:$G$16),IFERROR(('2. Investicijos'!$M$5:$M$16+'2. Investicijos'!$N$5:$N$16)/'2. Investicijos'!$G$5:$G$16,0))+SUMPRODUCT(--(2027&gt;'2. Investicijos'!$F$5:$F$16),--(2027&lt;='2. Investicijos'!$F$5:$F$16+'2. Investicijos'!$G$5:$G$16),IFERROR(('2. Investicijos'!$M$5:$M$16+'2. Investicijos'!$N$5:$N$16)*(1-((2027-'2. Investicijos'!$F$5:$F$16)-1)/'2. Investicijos'!$G$5:$G$16),0)*'5. 0% scenarijus'!$C$5)</f>
        <v>#VALUE!</v>
      </c>
      <c r="E154" s="62" t="e" cm="1">
        <f t="array" ref="E154">SUMPRODUCT(--(2028&gt;'2. Investicijos'!$F$5:$F$16),--(2028&lt;='2. Investicijos'!$F$5:$F$16+'2. Investicijos'!$G$5:$G$16),IFERROR(('2. Investicijos'!$M$5:$M$16+'2. Investicijos'!$N$5:$N$16)/'2. Investicijos'!$G$5:$G$16,0))+SUMPRODUCT(--(2028&gt;'2. Investicijos'!$F$5:$F$16),--(2028&lt;='2. Investicijos'!$F$5:$F$16+'2. Investicijos'!$G$5:$G$16),IFERROR(('2. Investicijos'!$M$5:$M$16+'2. Investicijos'!$N$5:$N$16)*(1-((2028-'2. Investicijos'!$F$5:$F$16)-1)/'2. Investicijos'!$G$5:$G$16),0)*'5. 0% scenarijus'!$C$5)</f>
        <v>#VALUE!</v>
      </c>
      <c r="F154" s="62" t="e" cm="1">
        <f t="array" ref="F154">SUMPRODUCT(--(2029&gt;'2. Investicijos'!$F$5:$F$16),--(2029&lt;='2. Investicijos'!$F$5:$F$16+'2. Investicijos'!$G$5:$G$16),IFERROR(('2. Investicijos'!$M$5:$M$16+'2. Investicijos'!$N$5:$N$16)/'2. Investicijos'!$G$5:$G$16,0))+SUMPRODUCT(--(2029&gt;'2. Investicijos'!$F$5:$F$16),--(2029&lt;='2. Investicijos'!$F$5:$F$16+'2. Investicijos'!$G$5:$G$16),IFERROR(('2. Investicijos'!$M$5:$M$16+'2. Investicijos'!$N$5:$N$16)*(1-((2029-'2. Investicijos'!$F$5:$F$16)-1)/'2. Investicijos'!$G$5:$G$16),0)*'5. 0% scenarijus'!$C$5)</f>
        <v>#VALUE!</v>
      </c>
      <c r="G154" s="62" t="e" cm="1">
        <f t="array" ref="G154">SUMPRODUCT(--(2030&gt;'2. Investicijos'!$F$5:$F$16),--(2030&lt;='2. Investicijos'!$F$5:$F$16+'2. Investicijos'!$G$5:$G$16),IFERROR(('2. Investicijos'!$M$5:$M$16+'2. Investicijos'!$N$5:$N$16)/'2. Investicijos'!$G$5:$G$16,0))+SUMPRODUCT(--(2030&gt;'2. Investicijos'!$F$5:$F$16),--(2030&lt;='2. Investicijos'!$F$5:$F$16+'2. Investicijos'!$G$5:$G$16),IFERROR(('2. Investicijos'!$M$5:$M$16+'2. Investicijos'!$N$5:$N$16)*(1-((2030-'2. Investicijos'!$F$5:$F$16)-1)/'2. Investicijos'!$G$5:$G$16),0)*'5. 0% scenarijus'!$C$5)</f>
        <v>#VALUE!</v>
      </c>
      <c r="H154" s="62" t="e" cm="1">
        <f t="array" ref="H154">SUMPRODUCT(--(2031&gt;'2. Investicijos'!$F$5:$F$16),--(2031&lt;='2. Investicijos'!$F$5:$F$16+'2. Investicijos'!$G$5:$G$16),IFERROR(('2. Investicijos'!$M$5:$M$16+'2. Investicijos'!$N$5:$N$16)/'2. Investicijos'!$G$5:$G$16,0))+SUMPRODUCT(--(2031&gt;'2. Investicijos'!$F$5:$F$16),--(2031&lt;='2. Investicijos'!$F$5:$F$16+'2. Investicijos'!$G$5:$G$16),IFERROR(('2. Investicijos'!$M$5:$M$16+'2. Investicijos'!$N$5:$N$16)*(1-((2031-'2. Investicijos'!$F$5:$F$16)-1)/'2. Investicijos'!$G$5:$G$16),0)*'5. 0% scenarijus'!$C$5)</f>
        <v>#VALUE!</v>
      </c>
      <c r="I154" s="62" t="e" cm="1">
        <f t="array" ref="I154">SUMPRODUCT(--(2032&gt;'2. Investicijos'!$F$5:$F$16),--(2032&lt;='2. Investicijos'!$F$5:$F$16+'2. Investicijos'!$G$5:$G$16),IFERROR(('2. Investicijos'!$M$5:$M$16+'2. Investicijos'!$N$5:$N$16)/'2. Investicijos'!$G$5:$G$16,0))+SUMPRODUCT(--(2032&gt;'2. Investicijos'!$F$5:$F$16),--(2032&lt;='2. Investicijos'!$F$5:$F$16+'2. Investicijos'!$G$5:$G$16),IFERROR(('2. Investicijos'!$M$5:$M$16+'2. Investicijos'!$N$5:$N$16)*(1-((2032-'2. Investicijos'!$F$5:$F$16)-1)/'2. Investicijos'!$G$5:$G$16),0)*'5. 0% scenarijus'!$C$5)</f>
        <v>#VALUE!</v>
      </c>
      <c r="J154" s="62" t="e" cm="1">
        <f t="array" ref="J154">SUMPRODUCT(--(2033&gt;'2. Investicijos'!$F$5:$F$16),--(2033&lt;='2. Investicijos'!$F$5:$F$16+'2. Investicijos'!$G$5:$G$16),IFERROR(('2. Investicijos'!$M$5:$M$16+'2. Investicijos'!$N$5:$N$16)/'2. Investicijos'!$G$5:$G$16,0))+SUMPRODUCT(--(2033&gt;'2. Investicijos'!$F$5:$F$16),--(2033&lt;='2. Investicijos'!$F$5:$F$16+'2. Investicijos'!$G$5:$G$16),IFERROR(('2. Investicijos'!$M$5:$M$16+'2. Investicijos'!$N$5:$N$16)*(1-((2033-'2. Investicijos'!$F$5:$F$16)-1)/'2. Investicijos'!$G$5:$G$16),0)*'5. 0% scenarijus'!$C$5)</f>
        <v>#VALUE!</v>
      </c>
      <c r="K154" s="62" t="e" cm="1">
        <f t="array" ref="K154">SUMPRODUCT(--(2034&gt;'2. Investicijos'!$F$5:$F$16),--(2034&lt;='2. Investicijos'!$F$5:$F$16+'2. Investicijos'!$G$5:$G$16),IFERROR(('2. Investicijos'!$M$5:$M$16+'2. Investicijos'!$N$5:$N$16)/'2. Investicijos'!$G$5:$G$16,0))+SUMPRODUCT(--(2034&gt;'2. Investicijos'!$F$5:$F$16),--(2034&lt;='2. Investicijos'!$F$5:$F$16+'2. Investicijos'!$G$5:$G$16),IFERROR(('2. Investicijos'!$M$5:$M$16+'2. Investicijos'!$N$5:$N$16)*(1-((2034-'2. Investicijos'!$F$5:$F$16)-1)/'2. Investicijos'!$G$5:$G$16),0)*'5. 0% scenarijus'!$C$5)</f>
        <v>#VALUE!</v>
      </c>
      <c r="L154" s="62" t="e" cm="1">
        <f t="array" ref="L154">SUMPRODUCT(--(2035&gt;'2. Investicijos'!$F$5:$F$16),--(2035&lt;='2. Investicijos'!$F$5:$F$16+'2. Investicijos'!$G$5:$G$16),IFERROR(('2. Investicijos'!$M$5:$M$16+'2. Investicijos'!$N$5:$N$16)/'2. Investicijos'!$G$5:$G$16,0))+SUMPRODUCT(--(2035&gt;'2. Investicijos'!$F$5:$F$16),--(2035&lt;='2. Investicijos'!$F$5:$F$16+'2. Investicijos'!$G$5:$G$16),IFERROR(('2. Investicijos'!$M$5:$M$16+'2. Investicijos'!$N$5:$N$16)*(1-((2035-'2. Investicijos'!$F$5:$F$16)-1)/'2. Investicijos'!$G$5:$G$16),0)*'5. 0% scenarijus'!$C$5)</f>
        <v>#VALUE!</v>
      </c>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row>
    <row r="155" spans="1:45">
      <c r="A155" s="57">
        <v>12</v>
      </c>
      <c r="B155" s="57" t="s">
        <v>62</v>
      </c>
      <c r="C155" s="62" t="e">
        <f>'3. Finansinės prielaidos'!C29+C154</f>
        <v>#VALUE!</v>
      </c>
      <c r="D155" s="62" t="e">
        <f>'3. Finansinės prielaidos'!D29+D154</f>
        <v>#VALUE!</v>
      </c>
      <c r="E155" s="62" t="e">
        <f>'3. Finansinės prielaidos'!E29+E154</f>
        <v>#VALUE!</v>
      </c>
      <c r="F155" s="62" t="e">
        <f>'3. Finansinės prielaidos'!F29+F154</f>
        <v>#VALUE!</v>
      </c>
      <c r="G155" s="62" t="e">
        <f>'3. Finansinės prielaidos'!G29+G154</f>
        <v>#VALUE!</v>
      </c>
      <c r="H155" s="62" t="e">
        <f>'3. Finansinės prielaidos'!H29+H154</f>
        <v>#VALUE!</v>
      </c>
      <c r="I155" s="62" t="e">
        <f>'3. Finansinės prielaidos'!I29+I154</f>
        <v>#VALUE!</v>
      </c>
      <c r="J155" s="62" t="e">
        <f>'3. Finansinės prielaidos'!J29+J154</f>
        <v>#VALUE!</v>
      </c>
      <c r="K155" s="62" t="e">
        <f>'3. Finansinės prielaidos'!K29+K154</f>
        <v>#VALUE!</v>
      </c>
      <c r="L155" s="62" t="e">
        <f>'3. Finansinės prielaidos'!L29+L154</f>
        <v>#VALUE!</v>
      </c>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row>
    <row r="156" spans="1:45">
      <c r="A156" s="57">
        <v>12</v>
      </c>
      <c r="B156" s="57" t="s">
        <v>159</v>
      </c>
      <c r="C156" s="62">
        <f>'3. Finansinės prielaidos'!C30+C153</f>
        <v>0</v>
      </c>
      <c r="D156" s="62">
        <f>'3. Finansinės prielaidos'!D30+D153</f>
        <v>0</v>
      </c>
      <c r="E156" s="62">
        <f>'3. Finansinės prielaidos'!E30+E153</f>
        <v>0</v>
      </c>
      <c r="F156" s="62">
        <f>'3. Finansinės prielaidos'!F30+F153</f>
        <v>0</v>
      </c>
      <c r="G156" s="62">
        <f>'3. Finansinės prielaidos'!G30+G153</f>
        <v>0</v>
      </c>
      <c r="H156" s="62">
        <f>'3. Finansinės prielaidos'!H30+H153</f>
        <v>0</v>
      </c>
      <c r="I156" s="62">
        <f>'3. Finansinės prielaidos'!I30+I153</f>
        <v>0</v>
      </c>
      <c r="J156" s="62">
        <f>'3. Finansinės prielaidos'!J30+J153</f>
        <v>0</v>
      </c>
      <c r="K156" s="62">
        <f>'3. Finansinės prielaidos'!K30+K153</f>
        <v>0</v>
      </c>
      <c r="L156" s="62">
        <f>'3. Finansinės prielaidos'!L30+L153</f>
        <v>0</v>
      </c>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row>
    <row r="157" spans="1:45">
      <c r="A157" s="57">
        <v>12</v>
      </c>
      <c r="B157" s="57" t="s">
        <v>160</v>
      </c>
      <c r="C157" s="62" t="e" cm="1">
        <f t="array" ref="C157">'3. Finansinės prielaidos'!C31+C154+C151+SUMPRODUCT('4. Metinis CAPEX'!F$9:F$20,IFERROR(('2. Investicijos'!$I$5:$I$16+'2. Investicijos'!$J$5:$J$16+'2. Investicijos'!$K$5:$K$16+'2. Investicijos'!$L$5:$L$16)/'2. Investicijos'!$H$5:$H$16,0))-C150-SUM(P$5:P$16)-C152-0</f>
        <v>#VALUE!</v>
      </c>
      <c r="D157" s="62" t="e" cm="1">
        <f t="array" ref="D157">C157+('3. Finansinės prielaidos'!D31-'3. Finansinės prielaidos'!C31)+D154+D151+SUMPRODUCT('4. Metinis CAPEX'!G$9:G$20,IFERROR(('2. Investicijos'!$I$5:$I$16+'2. Investicijos'!$J$5:$J$16+'2. Investicijos'!$K$5:$K$16+'2. Investicijos'!$L$5:$L$16)/'2. Investicijos'!$H$5:$H$16,0))-D150-SUM(Q$5:Q$16)-D152-MAX(0,-C157)*IFERROR(SUMPRODUCT('2. Investicijos'!$N$5:$N$16,'2. Investicijos'!$O$5:$O$16/100)/SUM('2. Investicijos'!$N$5:$N$16),0)</f>
        <v>#VALUE!</v>
      </c>
      <c r="E157" s="62" t="e" cm="1">
        <f t="array" ref="E157">D157+('3. Finansinės prielaidos'!E31-'3. Finansinės prielaidos'!D31)+E154+E151+SUMPRODUCT('4. Metinis CAPEX'!H$9:H$20,IFERROR(('2. Investicijos'!$I$5:$I$16+'2. Investicijos'!$J$5:$J$16+'2. Investicijos'!$K$5:$K$16+'2. Investicijos'!$L$5:$L$16)/'2. Investicijos'!$H$5:$H$16,0))-E150-SUM(R$5:R$16)-E152-MAX(0,-D157)*IFERROR(SUMPRODUCT('2. Investicijos'!$N$5:$N$16,'2. Investicijos'!$O$5:$O$16/100)/SUM('2. Investicijos'!$N$5:$N$16),0)</f>
        <v>#VALUE!</v>
      </c>
      <c r="F157" s="62" t="e" cm="1">
        <f t="array" ref="F157">E157+('3. Finansinės prielaidos'!F31-'3. Finansinės prielaidos'!E31)+F154+F151+SUMPRODUCT('4. Metinis CAPEX'!I$9:I$20,IFERROR(('2. Investicijos'!$I$5:$I$16+'2. Investicijos'!$J$5:$J$16+'2. Investicijos'!$K$5:$K$16+'2. Investicijos'!$L$5:$L$16)/'2. Investicijos'!$H$5:$H$16,0))-F150-SUM(S$5:S$16)-F152-MAX(0,-E157)*IFERROR(SUMPRODUCT('2. Investicijos'!$N$5:$N$16,'2. Investicijos'!$O$5:$O$16/100)/SUM('2. Investicijos'!$N$5:$N$16),0)</f>
        <v>#VALUE!</v>
      </c>
      <c r="G157" s="62" t="e" cm="1">
        <f t="array" ref="G157">F157+('3. Finansinės prielaidos'!G31-'3. Finansinės prielaidos'!F31)+G154+G151+SUMPRODUCT('4. Metinis CAPEX'!J$9:J$20,IFERROR(('2. Investicijos'!$I$5:$I$16+'2. Investicijos'!$J$5:$J$16+'2. Investicijos'!$K$5:$K$16+'2. Investicijos'!$L$5:$L$16)/'2. Investicijos'!$H$5:$H$16,0))-G150-SUM(T$5:T$16)-G152-MAX(0,-F157)*IFERROR(SUMPRODUCT('2. Investicijos'!$N$5:$N$16,'2. Investicijos'!$O$5:$O$16/100)/SUM('2. Investicijos'!$N$5:$N$16),0)</f>
        <v>#VALUE!</v>
      </c>
      <c r="H157" s="62" t="e" cm="1">
        <f t="array" ref="H157">G157+('3. Finansinės prielaidos'!H31-'3. Finansinės prielaidos'!G31)+H154+H151+SUMPRODUCT('4. Metinis CAPEX'!K$9:K$20,IFERROR(('2. Investicijos'!$I$5:$I$16+'2. Investicijos'!$J$5:$J$16+'2. Investicijos'!$K$5:$K$16+'2. Investicijos'!$L$5:$L$16)/'2. Investicijos'!$H$5:$H$16,0))-H150-SUM(U$5:U$16)-H152-MAX(0,-G157)*IFERROR(SUMPRODUCT('2. Investicijos'!$N$5:$N$16,'2. Investicijos'!$O$5:$O$16/100)/SUM('2. Investicijos'!$N$5:$N$16),0)</f>
        <v>#VALUE!</v>
      </c>
      <c r="I157" s="62" t="e" cm="1">
        <f t="array" ref="I157">H157+('3. Finansinės prielaidos'!I31-'3. Finansinės prielaidos'!H31)+I154+I151+SUMPRODUCT('4. Metinis CAPEX'!L$9:L$20,IFERROR(('2. Investicijos'!$I$5:$I$16+'2. Investicijos'!$J$5:$J$16+'2. Investicijos'!$K$5:$K$16+'2. Investicijos'!$L$5:$L$16)/'2. Investicijos'!$H$5:$H$16,0))-I150-SUM(V$5:V$16)-I152-MAX(0,-H157)*IFERROR(SUMPRODUCT('2. Investicijos'!$N$5:$N$16,'2. Investicijos'!$O$5:$O$16/100)/SUM('2. Investicijos'!$N$5:$N$16),0)</f>
        <v>#VALUE!</v>
      </c>
      <c r="J157" s="62" t="e" cm="1">
        <f t="array" ref="J157">I157+('3. Finansinės prielaidos'!J31-'3. Finansinės prielaidos'!I31)+J154+J151+SUMPRODUCT('4. Metinis CAPEX'!M$9:M$20,IFERROR(('2. Investicijos'!$I$5:$I$16+'2. Investicijos'!$J$5:$J$16+'2. Investicijos'!$K$5:$K$16+'2. Investicijos'!$L$5:$L$16)/'2. Investicijos'!$H$5:$H$16,0))-J150-SUM(W$5:W$16)-J152-MAX(0,-I157)*IFERROR(SUMPRODUCT('2. Investicijos'!$N$5:$N$16,'2. Investicijos'!$O$5:$O$16/100)/SUM('2. Investicijos'!$N$5:$N$16),0)</f>
        <v>#VALUE!</v>
      </c>
      <c r="K157" s="62" t="e" cm="1">
        <f t="array" ref="K157">J157+('3. Finansinės prielaidos'!K31-'3. Finansinės prielaidos'!J31)+K154+K151+SUMPRODUCT('4. Metinis CAPEX'!N$9:N$20,IFERROR(('2. Investicijos'!$I$5:$I$16+'2. Investicijos'!$J$5:$J$16+'2. Investicijos'!$K$5:$K$16+'2. Investicijos'!$L$5:$L$16)/'2. Investicijos'!$H$5:$H$16,0))-K150-SUM(X$5:X$16)-K152-MAX(0,-J157)*IFERROR(SUMPRODUCT('2. Investicijos'!$N$5:$N$16,'2. Investicijos'!$O$5:$O$16/100)/SUM('2. Investicijos'!$N$5:$N$16),0)</f>
        <v>#VALUE!</v>
      </c>
      <c r="L157" s="62" t="e" cm="1">
        <f t="array" ref="L157">K157+('3. Finansinės prielaidos'!L31-'3. Finansinės prielaidos'!K31)+L154+L151+SUMPRODUCT('4. Metinis CAPEX'!O$9:O$20,IFERROR(('2. Investicijos'!$I$5:$I$16+'2. Investicijos'!$J$5:$J$16+'2. Investicijos'!$K$5:$K$16+'2. Investicijos'!$L$5:$L$16)/'2. Investicijos'!$H$5:$H$16,0))-L150-SUM(Y$5:Y$16)-L152-MAX(0,-K157)*IFERROR(SUMPRODUCT('2. Investicijos'!$N$5:$N$16,'2. Investicijos'!$O$5:$O$16/100)/SUM('2. Investicijos'!$N$5:$N$16),0)</f>
        <v>#VALUE!</v>
      </c>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row>
    <row r="158" spans="1:45">
      <c r="A158" s="57">
        <v>12</v>
      </c>
      <c r="B158" s="57" t="s">
        <v>23</v>
      </c>
      <c r="C158" s="62" t="e">
        <f t="shared" ref="C158:L158" si="87">IF(OR(C155="",C156="",C157="",C155&lt;=0),"",(C156-C157)/C155)</f>
        <v>#VALUE!</v>
      </c>
      <c r="D158" s="62" t="e">
        <f t="shared" si="87"/>
        <v>#VALUE!</v>
      </c>
      <c r="E158" s="62" t="e">
        <f t="shared" si="87"/>
        <v>#VALUE!</v>
      </c>
      <c r="F158" s="62" t="e">
        <f t="shared" si="87"/>
        <v>#VALUE!</v>
      </c>
      <c r="G158" s="62" t="e">
        <f t="shared" si="87"/>
        <v>#VALUE!</v>
      </c>
      <c r="H158" s="62" t="e">
        <f t="shared" si="87"/>
        <v>#VALUE!</v>
      </c>
      <c r="I158" s="62" t="e">
        <f t="shared" si="87"/>
        <v>#VALUE!</v>
      </c>
      <c r="J158" s="62" t="e">
        <f t="shared" si="87"/>
        <v>#VALUE!</v>
      </c>
      <c r="K158" s="62" t="e">
        <f t="shared" si="87"/>
        <v>#VALUE!</v>
      </c>
      <c r="L158" s="62" t="e">
        <f t="shared" si="87"/>
        <v>#VALUE!</v>
      </c>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row>
    <row r="159" spans="1:45">
      <c r="A159" s="57">
        <v>12</v>
      </c>
      <c r="B159" s="57" t="s">
        <v>24</v>
      </c>
      <c r="C159" s="62" t="e">
        <f>IF(OR(C155="",C155&lt;=0,'3. Finansinės prielaidos'!C32=""),"",IF('3. Finansinės prielaidos'!C32+SUM(P$5:P$16)+C152+0=0,999999,C155/('3. Finansinės prielaidos'!C32+SUM(P$5:P$16)+C152+0)))</f>
        <v>#VALUE!</v>
      </c>
      <c r="D159" s="62" t="e" cm="1">
        <f t="array" ref="D159">IF(OR(D155="",D155&lt;=0,'3. Finansinės prielaidos'!D32=""),"",IF('3. Finansinės prielaidos'!D32+SUM(Q$5:Q$16)+D152+MAX(0,-C157)*IFERROR(SUMPRODUCT('2. Investicijos'!$N$5:$N$16,'2. Investicijos'!$O$5:$O$16/100)/SUM('2. Investicijos'!$N$5:$N$16),0)=0,999999,D155/('3. Finansinės prielaidos'!D32+SUM(Q$5:Q$16)+D152+MAX(0,-C157)*IFERROR(SUMPRODUCT('2. Investicijos'!$N$5:$N$16,'2. Investicijos'!$O$5:$O$16/100)/SUM('2. Investicijos'!$N$5:$N$16),0))))</f>
        <v>#VALUE!</v>
      </c>
      <c r="E159" s="62" t="e" cm="1">
        <f t="array" ref="E159">IF(OR(E155="",E155&lt;=0,'3. Finansinės prielaidos'!E32=""),"",IF('3. Finansinės prielaidos'!E32+SUM(R$5:R$16)+E152+MAX(0,-D157)*IFERROR(SUMPRODUCT('2. Investicijos'!$N$5:$N$16,'2. Investicijos'!$O$5:$O$16/100)/SUM('2. Investicijos'!$N$5:$N$16),0)=0,999999,E155/('3. Finansinės prielaidos'!E32+SUM(R$5:R$16)+E152+MAX(0,-D157)*IFERROR(SUMPRODUCT('2. Investicijos'!$N$5:$N$16,'2. Investicijos'!$O$5:$O$16/100)/SUM('2. Investicijos'!$N$5:$N$16),0))))</f>
        <v>#VALUE!</v>
      </c>
      <c r="F159" s="62" t="e" cm="1">
        <f t="array" ref="F159">IF(OR(F155="",F155&lt;=0,'3. Finansinės prielaidos'!F32=""),"",IF('3. Finansinės prielaidos'!F32+SUM(S$5:S$16)+F152+MAX(0,-E157)*IFERROR(SUMPRODUCT('2. Investicijos'!$N$5:$N$16,'2. Investicijos'!$O$5:$O$16/100)/SUM('2. Investicijos'!$N$5:$N$16),0)=0,999999,F155/('3. Finansinės prielaidos'!F32+SUM(S$5:S$16)+F152+MAX(0,-E157)*IFERROR(SUMPRODUCT('2. Investicijos'!$N$5:$N$16,'2. Investicijos'!$O$5:$O$16/100)/SUM('2. Investicijos'!$N$5:$N$16),0))))</f>
        <v>#VALUE!</v>
      </c>
      <c r="G159" s="62" t="e" cm="1">
        <f t="array" ref="G159">IF(OR(G155="",G155&lt;=0,'3. Finansinės prielaidos'!G32=""),"",IF('3. Finansinės prielaidos'!G32+SUM(T$5:T$16)+G152+MAX(0,-F157)*IFERROR(SUMPRODUCT('2. Investicijos'!$N$5:$N$16,'2. Investicijos'!$O$5:$O$16/100)/SUM('2. Investicijos'!$N$5:$N$16),0)=0,999999,G155/('3. Finansinės prielaidos'!G32+SUM(T$5:T$16)+G152+MAX(0,-F157)*IFERROR(SUMPRODUCT('2. Investicijos'!$N$5:$N$16,'2. Investicijos'!$O$5:$O$16/100)/SUM('2. Investicijos'!$N$5:$N$16),0))))</f>
        <v>#VALUE!</v>
      </c>
      <c r="H159" s="62" t="e" cm="1">
        <f t="array" ref="H159">IF(OR(H155="",H155&lt;=0,'3. Finansinės prielaidos'!H32=""),"",IF('3. Finansinės prielaidos'!H32+SUM(U$5:U$16)+H152+MAX(0,-G157)*IFERROR(SUMPRODUCT('2. Investicijos'!$N$5:$N$16,'2. Investicijos'!$O$5:$O$16/100)/SUM('2. Investicijos'!$N$5:$N$16),0)=0,999999,H155/('3. Finansinės prielaidos'!H32+SUM(U$5:U$16)+H152+MAX(0,-G157)*IFERROR(SUMPRODUCT('2. Investicijos'!$N$5:$N$16,'2. Investicijos'!$O$5:$O$16/100)/SUM('2. Investicijos'!$N$5:$N$16),0))))</f>
        <v>#VALUE!</v>
      </c>
      <c r="I159" s="62" t="e" cm="1">
        <f t="array" ref="I159">IF(OR(I155="",I155&lt;=0,'3. Finansinės prielaidos'!I32=""),"",IF('3. Finansinės prielaidos'!I32+SUM(V$5:V$16)+I152+MAX(0,-H157)*IFERROR(SUMPRODUCT('2. Investicijos'!$N$5:$N$16,'2. Investicijos'!$O$5:$O$16/100)/SUM('2. Investicijos'!$N$5:$N$16),0)=0,999999,I155/('3. Finansinės prielaidos'!I32+SUM(V$5:V$16)+I152+MAX(0,-H157)*IFERROR(SUMPRODUCT('2. Investicijos'!$N$5:$N$16,'2. Investicijos'!$O$5:$O$16/100)/SUM('2. Investicijos'!$N$5:$N$16),0))))</f>
        <v>#VALUE!</v>
      </c>
      <c r="J159" s="62" t="e" cm="1">
        <f t="array" ref="J159">IF(OR(J155="",J155&lt;=0,'3. Finansinės prielaidos'!J32=""),"",IF('3. Finansinės prielaidos'!J32+SUM(W$5:W$16)+J152+MAX(0,-I157)*IFERROR(SUMPRODUCT('2. Investicijos'!$N$5:$N$16,'2. Investicijos'!$O$5:$O$16/100)/SUM('2. Investicijos'!$N$5:$N$16),0)=0,999999,J155/('3. Finansinės prielaidos'!J32+SUM(W$5:W$16)+J152+MAX(0,-I157)*IFERROR(SUMPRODUCT('2. Investicijos'!$N$5:$N$16,'2. Investicijos'!$O$5:$O$16/100)/SUM('2. Investicijos'!$N$5:$N$16),0))))</f>
        <v>#VALUE!</v>
      </c>
      <c r="K159" s="62" t="e" cm="1">
        <f t="array" ref="K159">IF(OR(K155="",K155&lt;=0,'3. Finansinės prielaidos'!K32=""),"",IF('3. Finansinės prielaidos'!K32+SUM(X$5:X$16)+K152+MAX(0,-J157)*IFERROR(SUMPRODUCT('2. Investicijos'!$N$5:$N$16,'2. Investicijos'!$O$5:$O$16/100)/SUM('2. Investicijos'!$N$5:$N$16),0)=0,999999,K155/('3. Finansinės prielaidos'!K32+SUM(X$5:X$16)+K152+MAX(0,-J157)*IFERROR(SUMPRODUCT('2. Investicijos'!$N$5:$N$16,'2. Investicijos'!$O$5:$O$16/100)/SUM('2. Investicijos'!$N$5:$N$16),0))))</f>
        <v>#VALUE!</v>
      </c>
      <c r="L159" s="62" t="e" cm="1">
        <f t="array" ref="L159">IF(OR(L155="",L155&lt;=0,'3. Finansinės prielaidos'!L32=""),"",IF('3. Finansinės prielaidos'!L32+SUM(Y$5:Y$16)+L152+MAX(0,-K157)*IFERROR(SUMPRODUCT('2. Investicijos'!$N$5:$N$16,'2. Investicijos'!$O$5:$O$16/100)/SUM('2. Investicijos'!$N$5:$N$16),0)=0,999999,L155/('3. Finansinės prielaidos'!L32+SUM(Y$5:Y$16)+L152+MAX(0,-K157)*IFERROR(SUMPRODUCT('2. Investicijos'!$N$5:$N$16,'2. Investicijos'!$O$5:$O$16/100)/SUM('2. Investicijos'!$N$5:$N$16),0))))</f>
        <v>#VALUE!</v>
      </c>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row>
    <row r="160" spans="1:45">
      <c r="A160" s="57">
        <v>13</v>
      </c>
      <c r="B160" s="57" t="s">
        <v>58</v>
      </c>
      <c r="C160" s="62">
        <f>SUM('4. Metinis CAPEX'!F$9:F$21)</f>
        <v>0</v>
      </c>
      <c r="D160" s="62">
        <f>SUM('4. Metinis CAPEX'!G$9:G$21)</f>
        <v>0</v>
      </c>
      <c r="E160" s="62">
        <f>SUM('4. Metinis CAPEX'!H$9:H$21)</f>
        <v>0</v>
      </c>
      <c r="F160" s="62">
        <f>SUM('4. Metinis CAPEX'!I$9:I$21)</f>
        <v>0</v>
      </c>
      <c r="G160" s="62">
        <f>SUM('4. Metinis CAPEX'!J$9:J$21)</f>
        <v>0</v>
      </c>
      <c r="H160" s="62">
        <f>SUM('4. Metinis CAPEX'!K$9:K$21)</f>
        <v>0</v>
      </c>
      <c r="I160" s="62">
        <f>SUM('4. Metinis CAPEX'!L$9:L$21)</f>
        <v>0</v>
      </c>
      <c r="J160" s="62">
        <f>SUM('4. Metinis CAPEX'!M$9:M$21)</f>
        <v>0</v>
      </c>
      <c r="K160" s="62">
        <f>SUM('4. Metinis CAPEX'!N$9:N$21)</f>
        <v>0</v>
      </c>
      <c r="L160" s="62">
        <f>SUM('4. Metinis CAPEX'!O$9:O$21)</f>
        <v>0</v>
      </c>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row>
    <row r="161" spans="1:45">
      <c r="A161" s="57">
        <v>13</v>
      </c>
      <c r="B161" s="57" t="s">
        <v>59</v>
      </c>
      <c r="C161" s="62">
        <f t="shared" ref="C161:L161" si="88">SUM(F$5:F$17)</f>
        <v>0</v>
      </c>
      <c r="D161" s="62">
        <f t="shared" si="88"/>
        <v>0</v>
      </c>
      <c r="E161" s="62">
        <f t="shared" si="88"/>
        <v>0</v>
      </c>
      <c r="F161" s="62">
        <f t="shared" si="88"/>
        <v>0</v>
      </c>
      <c r="G161" s="62">
        <f t="shared" si="88"/>
        <v>0</v>
      </c>
      <c r="H161" s="62">
        <f t="shared" si="88"/>
        <v>0</v>
      </c>
      <c r="I161" s="62">
        <f t="shared" si="88"/>
        <v>0</v>
      </c>
      <c r="J161" s="62">
        <f t="shared" si="88"/>
        <v>0</v>
      </c>
      <c r="K161" s="62">
        <f t="shared" si="88"/>
        <v>0</v>
      </c>
      <c r="L161" s="62">
        <f t="shared" si="88"/>
        <v>0</v>
      </c>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row>
    <row r="162" spans="1:45">
      <c r="A162" s="57">
        <v>13</v>
      </c>
      <c r="B162" s="57" t="s">
        <v>60</v>
      </c>
      <c r="C162" s="62">
        <f t="shared" ref="C162:L162" si="89">SUM(Z$5:Z$17)</f>
        <v>0</v>
      </c>
      <c r="D162" s="62">
        <f t="shared" si="89"/>
        <v>0</v>
      </c>
      <c r="E162" s="62">
        <f t="shared" si="89"/>
        <v>0</v>
      </c>
      <c r="F162" s="62">
        <f t="shared" si="89"/>
        <v>0</v>
      </c>
      <c r="G162" s="62">
        <f t="shared" si="89"/>
        <v>0</v>
      </c>
      <c r="H162" s="62">
        <f t="shared" si="89"/>
        <v>0</v>
      </c>
      <c r="I162" s="62">
        <f t="shared" si="89"/>
        <v>0</v>
      </c>
      <c r="J162" s="62">
        <f t="shared" si="89"/>
        <v>0</v>
      </c>
      <c r="K162" s="62">
        <f t="shared" si="89"/>
        <v>0</v>
      </c>
      <c r="L162" s="62">
        <f t="shared" si="89"/>
        <v>0</v>
      </c>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row>
    <row r="163" spans="1:45">
      <c r="A163" s="57">
        <v>13</v>
      </c>
      <c r="B163" s="57" t="s">
        <v>61</v>
      </c>
      <c r="C163" s="62">
        <f t="shared" ref="C163:L163" si="90">SUM(AJ$5:AJ$17)</f>
        <v>0</v>
      </c>
      <c r="D163" s="62">
        <f t="shared" si="90"/>
        <v>0</v>
      </c>
      <c r="E163" s="62">
        <f t="shared" si="90"/>
        <v>0</v>
      </c>
      <c r="F163" s="62">
        <f t="shared" si="90"/>
        <v>0</v>
      </c>
      <c r="G163" s="62">
        <f t="shared" si="90"/>
        <v>0</v>
      </c>
      <c r="H163" s="62">
        <f t="shared" si="90"/>
        <v>0</v>
      </c>
      <c r="I163" s="62">
        <f t="shared" si="90"/>
        <v>0</v>
      </c>
      <c r="J163" s="62">
        <f t="shared" si="90"/>
        <v>0</v>
      </c>
      <c r="K163" s="62">
        <f t="shared" si="90"/>
        <v>0</v>
      </c>
      <c r="L163" s="62">
        <f t="shared" si="90"/>
        <v>0</v>
      </c>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row>
    <row r="164" spans="1:45">
      <c r="A164" s="57">
        <v>13</v>
      </c>
      <c r="B164" s="57" t="s">
        <v>155</v>
      </c>
      <c r="C164" s="62" t="e" cm="1">
        <f t="array" ref="C164">SUMPRODUCT(--(2026&gt;'2. Investicijos'!$F$5:$F$17),--(2026&lt;='2. Investicijos'!$F$5:$F$17+'2. Investicijos'!$G$5:$G$17),IFERROR(('2. Investicijos'!$M$5:$M$17+'2. Investicijos'!$N$5:$N$17)/'2. Investicijos'!$G$5:$G$17,0))+SUMPRODUCT(--(2026&gt;'2. Investicijos'!$F$5:$F$17),--(2026&lt;='2. Investicijos'!$F$5:$F$17+'2. Investicijos'!$G$5:$G$17),IFERROR(('2. Investicijos'!$M$5:$M$17+'2. Investicijos'!$N$5:$N$17)*(1-((2026-'2. Investicijos'!$F$5:$F$17)-1)/'2. Investicijos'!$G$5:$G$17),0)*'5. 0% scenarijus'!$C$5)</f>
        <v>#VALUE!</v>
      </c>
      <c r="D164" s="62" t="e" cm="1">
        <f t="array" ref="D164">SUMPRODUCT(--(2027&gt;'2. Investicijos'!$F$5:$F$17),--(2027&lt;='2. Investicijos'!$F$5:$F$17+'2. Investicijos'!$G$5:$G$17),IFERROR(('2. Investicijos'!$M$5:$M$17+'2. Investicijos'!$N$5:$N$17)/'2. Investicijos'!$G$5:$G$17,0))+SUMPRODUCT(--(2027&gt;'2. Investicijos'!$F$5:$F$17),--(2027&lt;='2. Investicijos'!$F$5:$F$17+'2. Investicijos'!$G$5:$G$17),IFERROR(('2. Investicijos'!$M$5:$M$17+'2. Investicijos'!$N$5:$N$17)*(1-((2027-'2. Investicijos'!$F$5:$F$17)-1)/'2. Investicijos'!$G$5:$G$17),0)*'5. 0% scenarijus'!$C$5)</f>
        <v>#VALUE!</v>
      </c>
      <c r="E164" s="62" t="e" cm="1">
        <f t="array" ref="E164">SUMPRODUCT(--(2028&gt;'2. Investicijos'!$F$5:$F$17),--(2028&lt;='2. Investicijos'!$F$5:$F$17+'2. Investicijos'!$G$5:$G$17),IFERROR(('2. Investicijos'!$M$5:$M$17+'2. Investicijos'!$N$5:$N$17)/'2. Investicijos'!$G$5:$G$17,0))+SUMPRODUCT(--(2028&gt;'2. Investicijos'!$F$5:$F$17),--(2028&lt;='2. Investicijos'!$F$5:$F$17+'2. Investicijos'!$G$5:$G$17),IFERROR(('2. Investicijos'!$M$5:$M$17+'2. Investicijos'!$N$5:$N$17)*(1-((2028-'2. Investicijos'!$F$5:$F$17)-1)/'2. Investicijos'!$G$5:$G$17),0)*'5. 0% scenarijus'!$C$5)</f>
        <v>#VALUE!</v>
      </c>
      <c r="F164" s="62" t="e" cm="1">
        <f t="array" ref="F164">SUMPRODUCT(--(2029&gt;'2. Investicijos'!$F$5:$F$17),--(2029&lt;='2. Investicijos'!$F$5:$F$17+'2. Investicijos'!$G$5:$G$17),IFERROR(('2. Investicijos'!$M$5:$M$17+'2. Investicijos'!$N$5:$N$17)/'2. Investicijos'!$G$5:$G$17,0))+SUMPRODUCT(--(2029&gt;'2. Investicijos'!$F$5:$F$17),--(2029&lt;='2. Investicijos'!$F$5:$F$17+'2. Investicijos'!$G$5:$G$17),IFERROR(('2. Investicijos'!$M$5:$M$17+'2. Investicijos'!$N$5:$N$17)*(1-((2029-'2. Investicijos'!$F$5:$F$17)-1)/'2. Investicijos'!$G$5:$G$17),0)*'5. 0% scenarijus'!$C$5)</f>
        <v>#VALUE!</v>
      </c>
      <c r="G164" s="62" t="e" cm="1">
        <f t="array" ref="G164">SUMPRODUCT(--(2030&gt;'2. Investicijos'!$F$5:$F$17),--(2030&lt;='2. Investicijos'!$F$5:$F$17+'2. Investicijos'!$G$5:$G$17),IFERROR(('2. Investicijos'!$M$5:$M$17+'2. Investicijos'!$N$5:$N$17)/'2. Investicijos'!$G$5:$G$17,0))+SUMPRODUCT(--(2030&gt;'2. Investicijos'!$F$5:$F$17),--(2030&lt;='2. Investicijos'!$F$5:$F$17+'2. Investicijos'!$G$5:$G$17),IFERROR(('2. Investicijos'!$M$5:$M$17+'2. Investicijos'!$N$5:$N$17)*(1-((2030-'2. Investicijos'!$F$5:$F$17)-1)/'2. Investicijos'!$G$5:$G$17),0)*'5. 0% scenarijus'!$C$5)</f>
        <v>#VALUE!</v>
      </c>
      <c r="H164" s="62" t="e" cm="1">
        <f t="array" ref="H164">SUMPRODUCT(--(2031&gt;'2. Investicijos'!$F$5:$F$17),--(2031&lt;='2. Investicijos'!$F$5:$F$17+'2. Investicijos'!$G$5:$G$17),IFERROR(('2. Investicijos'!$M$5:$M$17+'2. Investicijos'!$N$5:$N$17)/'2. Investicijos'!$G$5:$G$17,0))+SUMPRODUCT(--(2031&gt;'2. Investicijos'!$F$5:$F$17),--(2031&lt;='2. Investicijos'!$F$5:$F$17+'2. Investicijos'!$G$5:$G$17),IFERROR(('2. Investicijos'!$M$5:$M$17+'2. Investicijos'!$N$5:$N$17)*(1-((2031-'2. Investicijos'!$F$5:$F$17)-1)/'2. Investicijos'!$G$5:$G$17),0)*'5. 0% scenarijus'!$C$5)</f>
        <v>#VALUE!</v>
      </c>
      <c r="I164" s="62" t="e" cm="1">
        <f t="array" ref="I164">SUMPRODUCT(--(2032&gt;'2. Investicijos'!$F$5:$F$17),--(2032&lt;='2. Investicijos'!$F$5:$F$17+'2. Investicijos'!$G$5:$G$17),IFERROR(('2. Investicijos'!$M$5:$M$17+'2. Investicijos'!$N$5:$N$17)/'2. Investicijos'!$G$5:$G$17,0))+SUMPRODUCT(--(2032&gt;'2. Investicijos'!$F$5:$F$17),--(2032&lt;='2. Investicijos'!$F$5:$F$17+'2. Investicijos'!$G$5:$G$17),IFERROR(('2. Investicijos'!$M$5:$M$17+'2. Investicijos'!$N$5:$N$17)*(1-((2032-'2. Investicijos'!$F$5:$F$17)-1)/'2. Investicijos'!$G$5:$G$17),0)*'5. 0% scenarijus'!$C$5)</f>
        <v>#VALUE!</v>
      </c>
      <c r="J164" s="62" t="e" cm="1">
        <f t="array" ref="J164">SUMPRODUCT(--(2033&gt;'2. Investicijos'!$F$5:$F$17),--(2033&lt;='2. Investicijos'!$F$5:$F$17+'2. Investicijos'!$G$5:$G$17),IFERROR(('2. Investicijos'!$M$5:$M$17+'2. Investicijos'!$N$5:$N$17)/'2. Investicijos'!$G$5:$G$17,0))+SUMPRODUCT(--(2033&gt;'2. Investicijos'!$F$5:$F$17),--(2033&lt;='2. Investicijos'!$F$5:$F$17+'2. Investicijos'!$G$5:$G$17),IFERROR(('2. Investicijos'!$M$5:$M$17+'2. Investicijos'!$N$5:$N$17)*(1-((2033-'2. Investicijos'!$F$5:$F$17)-1)/'2. Investicijos'!$G$5:$G$17),0)*'5. 0% scenarijus'!$C$5)</f>
        <v>#VALUE!</v>
      </c>
      <c r="K164" s="62" t="e" cm="1">
        <f t="array" ref="K164">SUMPRODUCT(--(2034&gt;'2. Investicijos'!$F$5:$F$17),--(2034&lt;='2. Investicijos'!$F$5:$F$17+'2. Investicijos'!$G$5:$G$17),IFERROR(('2. Investicijos'!$M$5:$M$17+'2. Investicijos'!$N$5:$N$17)/'2. Investicijos'!$G$5:$G$17,0))+SUMPRODUCT(--(2034&gt;'2. Investicijos'!$F$5:$F$17),--(2034&lt;='2. Investicijos'!$F$5:$F$17+'2. Investicijos'!$G$5:$G$17),IFERROR(('2. Investicijos'!$M$5:$M$17+'2. Investicijos'!$N$5:$N$17)*(1-((2034-'2. Investicijos'!$F$5:$F$17)-1)/'2. Investicijos'!$G$5:$G$17),0)*'5. 0% scenarijus'!$C$5)</f>
        <v>#VALUE!</v>
      </c>
      <c r="L164" s="62" t="e" cm="1">
        <f t="array" ref="L164">SUMPRODUCT(--(2035&gt;'2. Investicijos'!$F$5:$F$17),--(2035&lt;='2. Investicijos'!$F$5:$F$17+'2. Investicijos'!$G$5:$G$17),IFERROR(('2. Investicijos'!$M$5:$M$17+'2. Investicijos'!$N$5:$N$17)/'2. Investicijos'!$G$5:$G$17,0))+SUMPRODUCT(--(2035&gt;'2. Investicijos'!$F$5:$F$17),--(2035&lt;='2. Investicijos'!$F$5:$F$17+'2. Investicijos'!$G$5:$G$17),IFERROR(('2. Investicijos'!$M$5:$M$17+'2. Investicijos'!$N$5:$N$17)*(1-((2035-'2. Investicijos'!$F$5:$F$17)-1)/'2. Investicijos'!$G$5:$G$17),0)*'5. 0% scenarijus'!$C$5)</f>
        <v>#VALUE!</v>
      </c>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row>
    <row r="165" spans="1:45">
      <c r="A165" s="57">
        <v>13</v>
      </c>
      <c r="B165" s="57" t="s">
        <v>62</v>
      </c>
      <c r="C165" s="62" t="e">
        <f>'3. Finansinės prielaidos'!C29+C164</f>
        <v>#VALUE!</v>
      </c>
      <c r="D165" s="62" t="e">
        <f>'3. Finansinės prielaidos'!D29+D164</f>
        <v>#VALUE!</v>
      </c>
      <c r="E165" s="62" t="e">
        <f>'3. Finansinės prielaidos'!E29+E164</f>
        <v>#VALUE!</v>
      </c>
      <c r="F165" s="62" t="e">
        <f>'3. Finansinės prielaidos'!F29+F164</f>
        <v>#VALUE!</v>
      </c>
      <c r="G165" s="62" t="e">
        <f>'3. Finansinės prielaidos'!G29+G164</f>
        <v>#VALUE!</v>
      </c>
      <c r="H165" s="62" t="e">
        <f>'3. Finansinės prielaidos'!H29+H164</f>
        <v>#VALUE!</v>
      </c>
      <c r="I165" s="62" t="e">
        <f>'3. Finansinės prielaidos'!I29+I164</f>
        <v>#VALUE!</v>
      </c>
      <c r="J165" s="62" t="e">
        <f>'3. Finansinės prielaidos'!J29+J164</f>
        <v>#VALUE!</v>
      </c>
      <c r="K165" s="62" t="e">
        <f>'3. Finansinės prielaidos'!K29+K164</f>
        <v>#VALUE!</v>
      </c>
      <c r="L165" s="62" t="e">
        <f>'3. Finansinės prielaidos'!L29+L164</f>
        <v>#VALUE!</v>
      </c>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row>
    <row r="166" spans="1:45">
      <c r="A166" s="57">
        <v>13</v>
      </c>
      <c r="B166" s="57" t="s">
        <v>159</v>
      </c>
      <c r="C166" s="62">
        <f>'3. Finansinės prielaidos'!C30+C163</f>
        <v>0</v>
      </c>
      <c r="D166" s="62">
        <f>'3. Finansinės prielaidos'!D30+D163</f>
        <v>0</v>
      </c>
      <c r="E166" s="62">
        <f>'3. Finansinės prielaidos'!E30+E163</f>
        <v>0</v>
      </c>
      <c r="F166" s="62">
        <f>'3. Finansinės prielaidos'!F30+F163</f>
        <v>0</v>
      </c>
      <c r="G166" s="62">
        <f>'3. Finansinės prielaidos'!G30+G163</f>
        <v>0</v>
      </c>
      <c r="H166" s="62">
        <f>'3. Finansinės prielaidos'!H30+H163</f>
        <v>0</v>
      </c>
      <c r="I166" s="62">
        <f>'3. Finansinės prielaidos'!I30+I163</f>
        <v>0</v>
      </c>
      <c r="J166" s="62">
        <f>'3. Finansinės prielaidos'!J30+J163</f>
        <v>0</v>
      </c>
      <c r="K166" s="62">
        <f>'3. Finansinės prielaidos'!K30+K163</f>
        <v>0</v>
      </c>
      <c r="L166" s="62">
        <f>'3. Finansinės prielaidos'!L30+L163</f>
        <v>0</v>
      </c>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row>
    <row r="167" spans="1:45">
      <c r="A167" s="57">
        <v>13</v>
      </c>
      <c r="B167" s="57" t="s">
        <v>160</v>
      </c>
      <c r="C167" s="62" t="e" cm="1">
        <f t="array" ref="C167">'3. Finansinės prielaidos'!C31+C164+C161+SUMPRODUCT('4. Metinis CAPEX'!F$9:F$21,IFERROR(('2. Investicijos'!$I$5:$I$17+'2. Investicijos'!$J$5:$J$17+'2. Investicijos'!$K$5:$K$17+'2. Investicijos'!$L$5:$L$17)/'2. Investicijos'!$H$5:$H$17,0))-C160-SUM(P$5:P$17)-C162-0</f>
        <v>#VALUE!</v>
      </c>
      <c r="D167" s="62" t="e" cm="1">
        <f t="array" ref="D167">C167+('3. Finansinės prielaidos'!D31-'3. Finansinės prielaidos'!C31)+D164+D161+SUMPRODUCT('4. Metinis CAPEX'!G$9:G$21,IFERROR(('2. Investicijos'!$I$5:$I$17+'2. Investicijos'!$J$5:$J$17+'2. Investicijos'!$K$5:$K$17+'2. Investicijos'!$L$5:$L$17)/'2. Investicijos'!$H$5:$H$17,0))-D160-SUM(Q$5:Q$17)-D162-MAX(0,-C167)*IFERROR(SUMPRODUCT('2. Investicijos'!$N$5:$N$17,'2. Investicijos'!$O$5:$O$17/100)/SUM('2. Investicijos'!$N$5:$N$17),0)</f>
        <v>#VALUE!</v>
      </c>
      <c r="E167" s="62" t="e" cm="1">
        <f t="array" ref="E167">D167+('3. Finansinės prielaidos'!E31-'3. Finansinės prielaidos'!D31)+E164+E161+SUMPRODUCT('4. Metinis CAPEX'!H$9:H$21,IFERROR(('2. Investicijos'!$I$5:$I$17+'2. Investicijos'!$J$5:$J$17+'2. Investicijos'!$K$5:$K$17+'2. Investicijos'!$L$5:$L$17)/'2. Investicijos'!$H$5:$H$17,0))-E160-SUM(R$5:R$17)-E162-MAX(0,-D167)*IFERROR(SUMPRODUCT('2. Investicijos'!$N$5:$N$17,'2. Investicijos'!$O$5:$O$17/100)/SUM('2. Investicijos'!$N$5:$N$17),0)</f>
        <v>#VALUE!</v>
      </c>
      <c r="F167" s="62" t="e" cm="1">
        <f t="array" ref="F167">E167+('3. Finansinės prielaidos'!F31-'3. Finansinės prielaidos'!E31)+F164+F161+SUMPRODUCT('4. Metinis CAPEX'!I$9:I$21,IFERROR(('2. Investicijos'!$I$5:$I$17+'2. Investicijos'!$J$5:$J$17+'2. Investicijos'!$K$5:$K$17+'2. Investicijos'!$L$5:$L$17)/'2. Investicijos'!$H$5:$H$17,0))-F160-SUM(S$5:S$17)-F162-MAX(0,-E167)*IFERROR(SUMPRODUCT('2. Investicijos'!$N$5:$N$17,'2. Investicijos'!$O$5:$O$17/100)/SUM('2. Investicijos'!$N$5:$N$17),0)</f>
        <v>#VALUE!</v>
      </c>
      <c r="G167" s="62" t="e" cm="1">
        <f t="array" ref="G167">F167+('3. Finansinės prielaidos'!G31-'3. Finansinės prielaidos'!F31)+G164+G161+SUMPRODUCT('4. Metinis CAPEX'!J$9:J$21,IFERROR(('2. Investicijos'!$I$5:$I$17+'2. Investicijos'!$J$5:$J$17+'2. Investicijos'!$K$5:$K$17+'2. Investicijos'!$L$5:$L$17)/'2. Investicijos'!$H$5:$H$17,0))-G160-SUM(T$5:T$17)-G162-MAX(0,-F167)*IFERROR(SUMPRODUCT('2. Investicijos'!$N$5:$N$17,'2. Investicijos'!$O$5:$O$17/100)/SUM('2. Investicijos'!$N$5:$N$17),0)</f>
        <v>#VALUE!</v>
      </c>
      <c r="H167" s="62" t="e" cm="1">
        <f t="array" ref="H167">G167+('3. Finansinės prielaidos'!H31-'3. Finansinės prielaidos'!G31)+H164+H161+SUMPRODUCT('4. Metinis CAPEX'!K$9:K$21,IFERROR(('2. Investicijos'!$I$5:$I$17+'2. Investicijos'!$J$5:$J$17+'2. Investicijos'!$K$5:$K$17+'2. Investicijos'!$L$5:$L$17)/'2. Investicijos'!$H$5:$H$17,0))-H160-SUM(U$5:U$17)-H162-MAX(0,-G167)*IFERROR(SUMPRODUCT('2. Investicijos'!$N$5:$N$17,'2. Investicijos'!$O$5:$O$17/100)/SUM('2. Investicijos'!$N$5:$N$17),0)</f>
        <v>#VALUE!</v>
      </c>
      <c r="I167" s="62" t="e" cm="1">
        <f t="array" ref="I167">H167+('3. Finansinės prielaidos'!I31-'3. Finansinės prielaidos'!H31)+I164+I161+SUMPRODUCT('4. Metinis CAPEX'!L$9:L$21,IFERROR(('2. Investicijos'!$I$5:$I$17+'2. Investicijos'!$J$5:$J$17+'2. Investicijos'!$K$5:$K$17+'2. Investicijos'!$L$5:$L$17)/'2. Investicijos'!$H$5:$H$17,0))-I160-SUM(V$5:V$17)-I162-MAX(0,-H167)*IFERROR(SUMPRODUCT('2. Investicijos'!$N$5:$N$17,'2. Investicijos'!$O$5:$O$17/100)/SUM('2. Investicijos'!$N$5:$N$17),0)</f>
        <v>#VALUE!</v>
      </c>
      <c r="J167" s="62" t="e" cm="1">
        <f t="array" ref="J167">I167+('3. Finansinės prielaidos'!J31-'3. Finansinės prielaidos'!I31)+J164+J161+SUMPRODUCT('4. Metinis CAPEX'!M$9:M$21,IFERROR(('2. Investicijos'!$I$5:$I$17+'2. Investicijos'!$J$5:$J$17+'2. Investicijos'!$K$5:$K$17+'2. Investicijos'!$L$5:$L$17)/'2. Investicijos'!$H$5:$H$17,0))-J160-SUM(W$5:W$17)-J162-MAX(0,-I167)*IFERROR(SUMPRODUCT('2. Investicijos'!$N$5:$N$17,'2. Investicijos'!$O$5:$O$17/100)/SUM('2. Investicijos'!$N$5:$N$17),0)</f>
        <v>#VALUE!</v>
      </c>
      <c r="K167" s="62" t="e" cm="1">
        <f t="array" ref="K167">J167+('3. Finansinės prielaidos'!K31-'3. Finansinės prielaidos'!J31)+K164+K161+SUMPRODUCT('4. Metinis CAPEX'!N$9:N$21,IFERROR(('2. Investicijos'!$I$5:$I$17+'2. Investicijos'!$J$5:$J$17+'2. Investicijos'!$K$5:$K$17+'2. Investicijos'!$L$5:$L$17)/'2. Investicijos'!$H$5:$H$17,0))-K160-SUM(X$5:X$17)-K162-MAX(0,-J167)*IFERROR(SUMPRODUCT('2. Investicijos'!$N$5:$N$17,'2. Investicijos'!$O$5:$O$17/100)/SUM('2. Investicijos'!$N$5:$N$17),0)</f>
        <v>#VALUE!</v>
      </c>
      <c r="L167" s="62" t="e" cm="1">
        <f t="array" ref="L167">K167+('3. Finansinės prielaidos'!L31-'3. Finansinės prielaidos'!K31)+L164+L161+SUMPRODUCT('4. Metinis CAPEX'!O$9:O$21,IFERROR(('2. Investicijos'!$I$5:$I$17+'2. Investicijos'!$J$5:$J$17+'2. Investicijos'!$K$5:$K$17+'2. Investicijos'!$L$5:$L$17)/'2. Investicijos'!$H$5:$H$17,0))-L160-SUM(Y$5:Y$17)-L162-MAX(0,-K167)*IFERROR(SUMPRODUCT('2. Investicijos'!$N$5:$N$17,'2. Investicijos'!$O$5:$O$17/100)/SUM('2. Investicijos'!$N$5:$N$17),0)</f>
        <v>#VALUE!</v>
      </c>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row>
    <row r="168" spans="1:45">
      <c r="A168" s="57">
        <v>13</v>
      </c>
      <c r="B168" s="57" t="s">
        <v>23</v>
      </c>
      <c r="C168" s="62" t="e">
        <f t="shared" ref="C168:L168" si="91">IF(OR(C165="",C166="",C167="",C165&lt;=0),"",(C166-C167)/C165)</f>
        <v>#VALUE!</v>
      </c>
      <c r="D168" s="62" t="e">
        <f t="shared" si="91"/>
        <v>#VALUE!</v>
      </c>
      <c r="E168" s="62" t="e">
        <f t="shared" si="91"/>
        <v>#VALUE!</v>
      </c>
      <c r="F168" s="62" t="e">
        <f t="shared" si="91"/>
        <v>#VALUE!</v>
      </c>
      <c r="G168" s="62" t="e">
        <f t="shared" si="91"/>
        <v>#VALUE!</v>
      </c>
      <c r="H168" s="62" t="e">
        <f t="shared" si="91"/>
        <v>#VALUE!</v>
      </c>
      <c r="I168" s="62" t="e">
        <f t="shared" si="91"/>
        <v>#VALUE!</v>
      </c>
      <c r="J168" s="62" t="e">
        <f t="shared" si="91"/>
        <v>#VALUE!</v>
      </c>
      <c r="K168" s="62" t="e">
        <f t="shared" si="91"/>
        <v>#VALUE!</v>
      </c>
      <c r="L168" s="62" t="e">
        <f t="shared" si="91"/>
        <v>#VALUE!</v>
      </c>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row>
    <row r="169" spans="1:45">
      <c r="A169" s="57">
        <v>13</v>
      </c>
      <c r="B169" s="57" t="s">
        <v>24</v>
      </c>
      <c r="C169" s="62" t="e">
        <f>IF(OR(C165="",C165&lt;=0,'3. Finansinės prielaidos'!C32=""),"",IF('3. Finansinės prielaidos'!C32+SUM(P$5:P$17)+C162+0=0,999999,C165/('3. Finansinės prielaidos'!C32+SUM(P$5:P$17)+C162+0)))</f>
        <v>#VALUE!</v>
      </c>
      <c r="D169" s="62" t="e" cm="1">
        <f t="array" ref="D169">IF(OR(D165="",D165&lt;=0,'3. Finansinės prielaidos'!D32=""),"",IF('3. Finansinės prielaidos'!D32+SUM(Q$5:Q$17)+D162+MAX(0,-C167)*IFERROR(SUMPRODUCT('2. Investicijos'!$N$5:$N$17,'2. Investicijos'!$O$5:$O$17/100)/SUM('2. Investicijos'!$N$5:$N$17),0)=0,999999,D165/('3. Finansinės prielaidos'!D32+SUM(Q$5:Q$17)+D162+MAX(0,-C167)*IFERROR(SUMPRODUCT('2. Investicijos'!$N$5:$N$17,'2. Investicijos'!$O$5:$O$17/100)/SUM('2. Investicijos'!$N$5:$N$17),0))))</f>
        <v>#VALUE!</v>
      </c>
      <c r="E169" s="62" t="e" cm="1">
        <f t="array" ref="E169">IF(OR(E165="",E165&lt;=0,'3. Finansinės prielaidos'!E32=""),"",IF('3. Finansinės prielaidos'!E32+SUM(R$5:R$17)+E162+MAX(0,-D167)*IFERROR(SUMPRODUCT('2. Investicijos'!$N$5:$N$17,'2. Investicijos'!$O$5:$O$17/100)/SUM('2. Investicijos'!$N$5:$N$17),0)=0,999999,E165/('3. Finansinės prielaidos'!E32+SUM(R$5:R$17)+E162+MAX(0,-D167)*IFERROR(SUMPRODUCT('2. Investicijos'!$N$5:$N$17,'2. Investicijos'!$O$5:$O$17/100)/SUM('2. Investicijos'!$N$5:$N$17),0))))</f>
        <v>#VALUE!</v>
      </c>
      <c r="F169" s="62" t="e" cm="1">
        <f t="array" ref="F169">IF(OR(F165="",F165&lt;=0,'3. Finansinės prielaidos'!F32=""),"",IF('3. Finansinės prielaidos'!F32+SUM(S$5:S$17)+F162+MAX(0,-E167)*IFERROR(SUMPRODUCT('2. Investicijos'!$N$5:$N$17,'2. Investicijos'!$O$5:$O$17/100)/SUM('2. Investicijos'!$N$5:$N$17),0)=0,999999,F165/('3. Finansinės prielaidos'!F32+SUM(S$5:S$17)+F162+MAX(0,-E167)*IFERROR(SUMPRODUCT('2. Investicijos'!$N$5:$N$17,'2. Investicijos'!$O$5:$O$17/100)/SUM('2. Investicijos'!$N$5:$N$17),0))))</f>
        <v>#VALUE!</v>
      </c>
      <c r="G169" s="62" t="e" cm="1">
        <f t="array" ref="G169">IF(OR(G165="",G165&lt;=0,'3. Finansinės prielaidos'!G32=""),"",IF('3. Finansinės prielaidos'!G32+SUM(T$5:T$17)+G162+MAX(0,-F167)*IFERROR(SUMPRODUCT('2. Investicijos'!$N$5:$N$17,'2. Investicijos'!$O$5:$O$17/100)/SUM('2. Investicijos'!$N$5:$N$17),0)=0,999999,G165/('3. Finansinės prielaidos'!G32+SUM(T$5:T$17)+G162+MAX(0,-F167)*IFERROR(SUMPRODUCT('2. Investicijos'!$N$5:$N$17,'2. Investicijos'!$O$5:$O$17/100)/SUM('2. Investicijos'!$N$5:$N$17),0))))</f>
        <v>#VALUE!</v>
      </c>
      <c r="H169" s="62" t="e" cm="1">
        <f t="array" ref="H169">IF(OR(H165="",H165&lt;=0,'3. Finansinės prielaidos'!H32=""),"",IF('3. Finansinės prielaidos'!H32+SUM(U$5:U$17)+H162+MAX(0,-G167)*IFERROR(SUMPRODUCT('2. Investicijos'!$N$5:$N$17,'2. Investicijos'!$O$5:$O$17/100)/SUM('2. Investicijos'!$N$5:$N$17),0)=0,999999,H165/('3. Finansinės prielaidos'!H32+SUM(U$5:U$17)+H162+MAX(0,-G167)*IFERROR(SUMPRODUCT('2. Investicijos'!$N$5:$N$17,'2. Investicijos'!$O$5:$O$17/100)/SUM('2. Investicijos'!$N$5:$N$17),0))))</f>
        <v>#VALUE!</v>
      </c>
      <c r="I169" s="62" t="e" cm="1">
        <f t="array" ref="I169">IF(OR(I165="",I165&lt;=0,'3. Finansinės prielaidos'!I32=""),"",IF('3. Finansinės prielaidos'!I32+SUM(V$5:V$17)+I162+MAX(0,-H167)*IFERROR(SUMPRODUCT('2. Investicijos'!$N$5:$N$17,'2. Investicijos'!$O$5:$O$17/100)/SUM('2. Investicijos'!$N$5:$N$17),0)=0,999999,I165/('3. Finansinės prielaidos'!I32+SUM(V$5:V$17)+I162+MAX(0,-H167)*IFERROR(SUMPRODUCT('2. Investicijos'!$N$5:$N$17,'2. Investicijos'!$O$5:$O$17/100)/SUM('2. Investicijos'!$N$5:$N$17),0))))</f>
        <v>#VALUE!</v>
      </c>
      <c r="J169" s="62" t="e" cm="1">
        <f t="array" ref="J169">IF(OR(J165="",J165&lt;=0,'3. Finansinės prielaidos'!J32=""),"",IF('3. Finansinės prielaidos'!J32+SUM(W$5:W$17)+J162+MAX(0,-I167)*IFERROR(SUMPRODUCT('2. Investicijos'!$N$5:$N$17,'2. Investicijos'!$O$5:$O$17/100)/SUM('2. Investicijos'!$N$5:$N$17),0)=0,999999,J165/('3. Finansinės prielaidos'!J32+SUM(W$5:W$17)+J162+MAX(0,-I167)*IFERROR(SUMPRODUCT('2. Investicijos'!$N$5:$N$17,'2. Investicijos'!$O$5:$O$17/100)/SUM('2. Investicijos'!$N$5:$N$17),0))))</f>
        <v>#VALUE!</v>
      </c>
      <c r="K169" s="62" t="e" cm="1">
        <f t="array" ref="K169">IF(OR(K165="",K165&lt;=0,'3. Finansinės prielaidos'!K32=""),"",IF('3. Finansinės prielaidos'!K32+SUM(X$5:X$17)+K162+MAX(0,-J167)*IFERROR(SUMPRODUCT('2. Investicijos'!$N$5:$N$17,'2. Investicijos'!$O$5:$O$17/100)/SUM('2. Investicijos'!$N$5:$N$17),0)=0,999999,K165/('3. Finansinės prielaidos'!K32+SUM(X$5:X$17)+K162+MAX(0,-J167)*IFERROR(SUMPRODUCT('2. Investicijos'!$N$5:$N$17,'2. Investicijos'!$O$5:$O$17/100)/SUM('2. Investicijos'!$N$5:$N$17),0))))</f>
        <v>#VALUE!</v>
      </c>
      <c r="L169" s="62" t="e" cm="1">
        <f t="array" ref="L169">IF(OR(L165="",L165&lt;=0,'3. Finansinės prielaidos'!L32=""),"",IF('3. Finansinės prielaidos'!L32+SUM(Y$5:Y$17)+L162+MAX(0,-K167)*IFERROR(SUMPRODUCT('2. Investicijos'!$N$5:$N$17,'2. Investicijos'!$O$5:$O$17/100)/SUM('2. Investicijos'!$N$5:$N$17),0)=0,999999,L165/('3. Finansinės prielaidos'!L32+SUM(Y$5:Y$17)+L162+MAX(0,-K167)*IFERROR(SUMPRODUCT('2. Investicijos'!$N$5:$N$17,'2. Investicijos'!$O$5:$O$17/100)/SUM('2. Investicijos'!$N$5:$N$17),0))))</f>
        <v>#VALUE!</v>
      </c>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row>
    <row r="170" spans="1:45">
      <c r="A170" s="57">
        <v>14</v>
      </c>
      <c r="B170" s="57" t="s">
        <v>58</v>
      </c>
      <c r="C170" s="62">
        <f>SUM('4. Metinis CAPEX'!F$9:F$22)</f>
        <v>0</v>
      </c>
      <c r="D170" s="62">
        <f>SUM('4. Metinis CAPEX'!G$9:G$22)</f>
        <v>0</v>
      </c>
      <c r="E170" s="62">
        <f>SUM('4. Metinis CAPEX'!H$9:H$22)</f>
        <v>0</v>
      </c>
      <c r="F170" s="62">
        <f>SUM('4. Metinis CAPEX'!I$9:I$22)</f>
        <v>0</v>
      </c>
      <c r="G170" s="62">
        <f>SUM('4. Metinis CAPEX'!J$9:J$22)</f>
        <v>0</v>
      </c>
      <c r="H170" s="62">
        <f>SUM('4. Metinis CAPEX'!K$9:K$22)</f>
        <v>0</v>
      </c>
      <c r="I170" s="62">
        <f>SUM('4. Metinis CAPEX'!L$9:L$22)</f>
        <v>0</v>
      </c>
      <c r="J170" s="62">
        <f>SUM('4. Metinis CAPEX'!M$9:M$22)</f>
        <v>0</v>
      </c>
      <c r="K170" s="62">
        <f>SUM('4. Metinis CAPEX'!N$9:N$22)</f>
        <v>0</v>
      </c>
      <c r="L170" s="62">
        <f>SUM('4. Metinis CAPEX'!O$9:O$22)</f>
        <v>0</v>
      </c>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row>
    <row r="171" spans="1:45">
      <c r="A171" s="57">
        <v>14</v>
      </c>
      <c r="B171" s="57" t="s">
        <v>59</v>
      </c>
      <c r="C171" s="62">
        <f t="shared" ref="C171:L171" si="92">SUM(F$5:F$18)</f>
        <v>0</v>
      </c>
      <c r="D171" s="62">
        <f t="shared" si="92"/>
        <v>0</v>
      </c>
      <c r="E171" s="62">
        <f t="shared" si="92"/>
        <v>0</v>
      </c>
      <c r="F171" s="62">
        <f t="shared" si="92"/>
        <v>0</v>
      </c>
      <c r="G171" s="62">
        <f t="shared" si="92"/>
        <v>0</v>
      </c>
      <c r="H171" s="62">
        <f t="shared" si="92"/>
        <v>0</v>
      </c>
      <c r="I171" s="62">
        <f t="shared" si="92"/>
        <v>0</v>
      </c>
      <c r="J171" s="62">
        <f t="shared" si="92"/>
        <v>0</v>
      </c>
      <c r="K171" s="62">
        <f t="shared" si="92"/>
        <v>0</v>
      </c>
      <c r="L171" s="62">
        <f t="shared" si="92"/>
        <v>0</v>
      </c>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row>
    <row r="172" spans="1:45">
      <c r="A172" s="57">
        <v>14</v>
      </c>
      <c r="B172" s="57" t="s">
        <v>60</v>
      </c>
      <c r="C172" s="62">
        <f t="shared" ref="C172:L172" si="93">SUM(Z$5:Z$18)</f>
        <v>0</v>
      </c>
      <c r="D172" s="62">
        <f t="shared" si="93"/>
        <v>0</v>
      </c>
      <c r="E172" s="62">
        <f t="shared" si="93"/>
        <v>0</v>
      </c>
      <c r="F172" s="62">
        <f t="shared" si="93"/>
        <v>0</v>
      </c>
      <c r="G172" s="62">
        <f t="shared" si="93"/>
        <v>0</v>
      </c>
      <c r="H172" s="62">
        <f t="shared" si="93"/>
        <v>0</v>
      </c>
      <c r="I172" s="62">
        <f t="shared" si="93"/>
        <v>0</v>
      </c>
      <c r="J172" s="62">
        <f t="shared" si="93"/>
        <v>0</v>
      </c>
      <c r="K172" s="62">
        <f t="shared" si="93"/>
        <v>0</v>
      </c>
      <c r="L172" s="62">
        <f t="shared" si="93"/>
        <v>0</v>
      </c>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row>
    <row r="173" spans="1:45">
      <c r="A173" s="57">
        <v>14</v>
      </c>
      <c r="B173" s="57" t="s">
        <v>61</v>
      </c>
      <c r="C173" s="62">
        <f t="shared" ref="C173:L173" si="94">SUM(AJ$5:AJ$18)</f>
        <v>0</v>
      </c>
      <c r="D173" s="62">
        <f t="shared" si="94"/>
        <v>0</v>
      </c>
      <c r="E173" s="62">
        <f t="shared" si="94"/>
        <v>0</v>
      </c>
      <c r="F173" s="62">
        <f t="shared" si="94"/>
        <v>0</v>
      </c>
      <c r="G173" s="62">
        <f t="shared" si="94"/>
        <v>0</v>
      </c>
      <c r="H173" s="62">
        <f t="shared" si="94"/>
        <v>0</v>
      </c>
      <c r="I173" s="62">
        <f t="shared" si="94"/>
        <v>0</v>
      </c>
      <c r="J173" s="62">
        <f t="shared" si="94"/>
        <v>0</v>
      </c>
      <c r="K173" s="62">
        <f t="shared" si="94"/>
        <v>0</v>
      </c>
      <c r="L173" s="62">
        <f t="shared" si="94"/>
        <v>0</v>
      </c>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row>
    <row r="174" spans="1:45">
      <c r="A174" s="57">
        <v>14</v>
      </c>
      <c r="B174" s="57" t="s">
        <v>155</v>
      </c>
      <c r="C174" s="62" t="e" cm="1">
        <f t="array" ref="C174">SUMPRODUCT(--(2026&gt;'2. Investicijos'!$F$5:$F$18),--(2026&lt;='2. Investicijos'!$F$5:$F$18+'2. Investicijos'!$G$5:$G$18),IFERROR(('2. Investicijos'!$M$5:$M$18+'2. Investicijos'!$N$5:$N$18)/'2. Investicijos'!$G$5:$G$18,0))+SUMPRODUCT(--(2026&gt;'2. Investicijos'!$F$5:$F$18),--(2026&lt;='2. Investicijos'!$F$5:$F$18+'2. Investicijos'!$G$5:$G$18),IFERROR(('2. Investicijos'!$M$5:$M$18+'2. Investicijos'!$N$5:$N$18)*(1-((2026-'2. Investicijos'!$F$5:$F$18)-1)/'2. Investicijos'!$G$5:$G$18),0)*'5. 0% scenarijus'!$C$5)</f>
        <v>#VALUE!</v>
      </c>
      <c r="D174" s="62" t="e" cm="1">
        <f t="array" ref="D174">SUMPRODUCT(--(2027&gt;'2. Investicijos'!$F$5:$F$18),--(2027&lt;='2. Investicijos'!$F$5:$F$18+'2. Investicijos'!$G$5:$G$18),IFERROR(('2. Investicijos'!$M$5:$M$18+'2. Investicijos'!$N$5:$N$18)/'2. Investicijos'!$G$5:$G$18,0))+SUMPRODUCT(--(2027&gt;'2. Investicijos'!$F$5:$F$18),--(2027&lt;='2. Investicijos'!$F$5:$F$18+'2. Investicijos'!$G$5:$G$18),IFERROR(('2. Investicijos'!$M$5:$M$18+'2. Investicijos'!$N$5:$N$18)*(1-((2027-'2. Investicijos'!$F$5:$F$18)-1)/'2. Investicijos'!$G$5:$G$18),0)*'5. 0% scenarijus'!$C$5)</f>
        <v>#VALUE!</v>
      </c>
      <c r="E174" s="62" t="e" cm="1">
        <f t="array" ref="E174">SUMPRODUCT(--(2028&gt;'2. Investicijos'!$F$5:$F$18),--(2028&lt;='2. Investicijos'!$F$5:$F$18+'2. Investicijos'!$G$5:$G$18),IFERROR(('2. Investicijos'!$M$5:$M$18+'2. Investicijos'!$N$5:$N$18)/'2. Investicijos'!$G$5:$G$18,0))+SUMPRODUCT(--(2028&gt;'2. Investicijos'!$F$5:$F$18),--(2028&lt;='2. Investicijos'!$F$5:$F$18+'2. Investicijos'!$G$5:$G$18),IFERROR(('2. Investicijos'!$M$5:$M$18+'2. Investicijos'!$N$5:$N$18)*(1-((2028-'2. Investicijos'!$F$5:$F$18)-1)/'2. Investicijos'!$G$5:$G$18),0)*'5. 0% scenarijus'!$C$5)</f>
        <v>#VALUE!</v>
      </c>
      <c r="F174" s="62" t="e" cm="1">
        <f t="array" ref="F174">SUMPRODUCT(--(2029&gt;'2. Investicijos'!$F$5:$F$18),--(2029&lt;='2. Investicijos'!$F$5:$F$18+'2. Investicijos'!$G$5:$G$18),IFERROR(('2. Investicijos'!$M$5:$M$18+'2. Investicijos'!$N$5:$N$18)/'2. Investicijos'!$G$5:$G$18,0))+SUMPRODUCT(--(2029&gt;'2. Investicijos'!$F$5:$F$18),--(2029&lt;='2. Investicijos'!$F$5:$F$18+'2. Investicijos'!$G$5:$G$18),IFERROR(('2. Investicijos'!$M$5:$M$18+'2. Investicijos'!$N$5:$N$18)*(1-((2029-'2. Investicijos'!$F$5:$F$18)-1)/'2. Investicijos'!$G$5:$G$18),0)*'5. 0% scenarijus'!$C$5)</f>
        <v>#VALUE!</v>
      </c>
      <c r="G174" s="62" t="e" cm="1">
        <f t="array" ref="G174">SUMPRODUCT(--(2030&gt;'2. Investicijos'!$F$5:$F$18),--(2030&lt;='2. Investicijos'!$F$5:$F$18+'2. Investicijos'!$G$5:$G$18),IFERROR(('2. Investicijos'!$M$5:$M$18+'2. Investicijos'!$N$5:$N$18)/'2. Investicijos'!$G$5:$G$18,0))+SUMPRODUCT(--(2030&gt;'2. Investicijos'!$F$5:$F$18),--(2030&lt;='2. Investicijos'!$F$5:$F$18+'2. Investicijos'!$G$5:$G$18),IFERROR(('2. Investicijos'!$M$5:$M$18+'2. Investicijos'!$N$5:$N$18)*(1-((2030-'2. Investicijos'!$F$5:$F$18)-1)/'2. Investicijos'!$G$5:$G$18),0)*'5. 0% scenarijus'!$C$5)</f>
        <v>#VALUE!</v>
      </c>
      <c r="H174" s="62" t="e" cm="1">
        <f t="array" ref="H174">SUMPRODUCT(--(2031&gt;'2. Investicijos'!$F$5:$F$18),--(2031&lt;='2. Investicijos'!$F$5:$F$18+'2. Investicijos'!$G$5:$G$18),IFERROR(('2. Investicijos'!$M$5:$M$18+'2. Investicijos'!$N$5:$N$18)/'2. Investicijos'!$G$5:$G$18,0))+SUMPRODUCT(--(2031&gt;'2. Investicijos'!$F$5:$F$18),--(2031&lt;='2. Investicijos'!$F$5:$F$18+'2. Investicijos'!$G$5:$G$18),IFERROR(('2. Investicijos'!$M$5:$M$18+'2. Investicijos'!$N$5:$N$18)*(1-((2031-'2. Investicijos'!$F$5:$F$18)-1)/'2. Investicijos'!$G$5:$G$18),0)*'5. 0% scenarijus'!$C$5)</f>
        <v>#VALUE!</v>
      </c>
      <c r="I174" s="62" t="e" cm="1">
        <f t="array" ref="I174">SUMPRODUCT(--(2032&gt;'2. Investicijos'!$F$5:$F$18),--(2032&lt;='2. Investicijos'!$F$5:$F$18+'2. Investicijos'!$G$5:$G$18),IFERROR(('2. Investicijos'!$M$5:$M$18+'2. Investicijos'!$N$5:$N$18)/'2. Investicijos'!$G$5:$G$18,0))+SUMPRODUCT(--(2032&gt;'2. Investicijos'!$F$5:$F$18),--(2032&lt;='2. Investicijos'!$F$5:$F$18+'2. Investicijos'!$G$5:$G$18),IFERROR(('2. Investicijos'!$M$5:$M$18+'2. Investicijos'!$N$5:$N$18)*(1-((2032-'2. Investicijos'!$F$5:$F$18)-1)/'2. Investicijos'!$G$5:$G$18),0)*'5. 0% scenarijus'!$C$5)</f>
        <v>#VALUE!</v>
      </c>
      <c r="J174" s="62" t="e" cm="1">
        <f t="array" ref="J174">SUMPRODUCT(--(2033&gt;'2. Investicijos'!$F$5:$F$18),--(2033&lt;='2. Investicijos'!$F$5:$F$18+'2. Investicijos'!$G$5:$G$18),IFERROR(('2. Investicijos'!$M$5:$M$18+'2. Investicijos'!$N$5:$N$18)/'2. Investicijos'!$G$5:$G$18,0))+SUMPRODUCT(--(2033&gt;'2. Investicijos'!$F$5:$F$18),--(2033&lt;='2. Investicijos'!$F$5:$F$18+'2. Investicijos'!$G$5:$G$18),IFERROR(('2. Investicijos'!$M$5:$M$18+'2. Investicijos'!$N$5:$N$18)*(1-((2033-'2. Investicijos'!$F$5:$F$18)-1)/'2. Investicijos'!$G$5:$G$18),0)*'5. 0% scenarijus'!$C$5)</f>
        <v>#VALUE!</v>
      </c>
      <c r="K174" s="62" t="e" cm="1">
        <f t="array" ref="K174">SUMPRODUCT(--(2034&gt;'2. Investicijos'!$F$5:$F$18),--(2034&lt;='2. Investicijos'!$F$5:$F$18+'2. Investicijos'!$G$5:$G$18),IFERROR(('2. Investicijos'!$M$5:$M$18+'2. Investicijos'!$N$5:$N$18)/'2. Investicijos'!$G$5:$G$18,0))+SUMPRODUCT(--(2034&gt;'2. Investicijos'!$F$5:$F$18),--(2034&lt;='2. Investicijos'!$F$5:$F$18+'2. Investicijos'!$G$5:$G$18),IFERROR(('2. Investicijos'!$M$5:$M$18+'2. Investicijos'!$N$5:$N$18)*(1-((2034-'2. Investicijos'!$F$5:$F$18)-1)/'2. Investicijos'!$G$5:$G$18),0)*'5. 0% scenarijus'!$C$5)</f>
        <v>#VALUE!</v>
      </c>
      <c r="L174" s="62" t="e" cm="1">
        <f t="array" ref="L174">SUMPRODUCT(--(2035&gt;'2. Investicijos'!$F$5:$F$18),--(2035&lt;='2. Investicijos'!$F$5:$F$18+'2. Investicijos'!$G$5:$G$18),IFERROR(('2. Investicijos'!$M$5:$M$18+'2. Investicijos'!$N$5:$N$18)/'2. Investicijos'!$G$5:$G$18,0))+SUMPRODUCT(--(2035&gt;'2. Investicijos'!$F$5:$F$18),--(2035&lt;='2. Investicijos'!$F$5:$F$18+'2. Investicijos'!$G$5:$G$18),IFERROR(('2. Investicijos'!$M$5:$M$18+'2. Investicijos'!$N$5:$N$18)*(1-((2035-'2. Investicijos'!$F$5:$F$18)-1)/'2. Investicijos'!$G$5:$G$18),0)*'5. 0% scenarijus'!$C$5)</f>
        <v>#VALUE!</v>
      </c>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row>
    <row r="175" spans="1:45">
      <c r="A175" s="57">
        <v>14</v>
      </c>
      <c r="B175" s="57" t="s">
        <v>62</v>
      </c>
      <c r="C175" s="62" t="e">
        <f>'3. Finansinės prielaidos'!C29+C174</f>
        <v>#VALUE!</v>
      </c>
      <c r="D175" s="62" t="e">
        <f>'3. Finansinės prielaidos'!D29+D174</f>
        <v>#VALUE!</v>
      </c>
      <c r="E175" s="62" t="e">
        <f>'3. Finansinės prielaidos'!E29+E174</f>
        <v>#VALUE!</v>
      </c>
      <c r="F175" s="62" t="e">
        <f>'3. Finansinės prielaidos'!F29+F174</f>
        <v>#VALUE!</v>
      </c>
      <c r="G175" s="62" t="e">
        <f>'3. Finansinės prielaidos'!G29+G174</f>
        <v>#VALUE!</v>
      </c>
      <c r="H175" s="62" t="e">
        <f>'3. Finansinės prielaidos'!H29+H174</f>
        <v>#VALUE!</v>
      </c>
      <c r="I175" s="62" t="e">
        <f>'3. Finansinės prielaidos'!I29+I174</f>
        <v>#VALUE!</v>
      </c>
      <c r="J175" s="62" t="e">
        <f>'3. Finansinės prielaidos'!J29+J174</f>
        <v>#VALUE!</v>
      </c>
      <c r="K175" s="62" t="e">
        <f>'3. Finansinės prielaidos'!K29+K174</f>
        <v>#VALUE!</v>
      </c>
      <c r="L175" s="62" t="e">
        <f>'3. Finansinės prielaidos'!L29+L174</f>
        <v>#VALUE!</v>
      </c>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row>
    <row r="176" spans="1:45">
      <c r="A176" s="57">
        <v>14</v>
      </c>
      <c r="B176" s="57" t="s">
        <v>159</v>
      </c>
      <c r="C176" s="62">
        <f>'3. Finansinės prielaidos'!C30+C173</f>
        <v>0</v>
      </c>
      <c r="D176" s="62">
        <f>'3. Finansinės prielaidos'!D30+D173</f>
        <v>0</v>
      </c>
      <c r="E176" s="62">
        <f>'3. Finansinės prielaidos'!E30+E173</f>
        <v>0</v>
      </c>
      <c r="F176" s="62">
        <f>'3. Finansinės prielaidos'!F30+F173</f>
        <v>0</v>
      </c>
      <c r="G176" s="62">
        <f>'3. Finansinės prielaidos'!G30+G173</f>
        <v>0</v>
      </c>
      <c r="H176" s="62">
        <f>'3. Finansinės prielaidos'!H30+H173</f>
        <v>0</v>
      </c>
      <c r="I176" s="62">
        <f>'3. Finansinės prielaidos'!I30+I173</f>
        <v>0</v>
      </c>
      <c r="J176" s="62">
        <f>'3. Finansinės prielaidos'!J30+J173</f>
        <v>0</v>
      </c>
      <c r="K176" s="62">
        <f>'3. Finansinės prielaidos'!K30+K173</f>
        <v>0</v>
      </c>
      <c r="L176" s="62">
        <f>'3. Finansinės prielaidos'!L30+L173</f>
        <v>0</v>
      </c>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row>
    <row r="177" spans="1:45">
      <c r="A177" s="57">
        <v>14</v>
      </c>
      <c r="B177" s="57" t="s">
        <v>160</v>
      </c>
      <c r="C177" s="62" t="e" cm="1">
        <f t="array" ref="C177">'3. Finansinės prielaidos'!C31+C174+C171+SUMPRODUCT('4. Metinis CAPEX'!F$9:F$22,IFERROR(('2. Investicijos'!$I$5:$I$18+'2. Investicijos'!$J$5:$J$18+'2. Investicijos'!$K$5:$K$18+'2. Investicijos'!$L$5:$L$18)/'2. Investicijos'!$H$5:$H$18,0))-C170-SUM(P$5:P$18)-C172-0</f>
        <v>#VALUE!</v>
      </c>
      <c r="D177" s="62" t="e" cm="1">
        <f t="array" ref="D177">C177+('3. Finansinės prielaidos'!D31-'3. Finansinės prielaidos'!C31)+D174+D171+SUMPRODUCT('4. Metinis CAPEX'!G$9:G$22,IFERROR(('2. Investicijos'!$I$5:$I$18+'2. Investicijos'!$J$5:$J$18+'2. Investicijos'!$K$5:$K$18+'2. Investicijos'!$L$5:$L$18)/'2. Investicijos'!$H$5:$H$18,0))-D170-SUM(Q$5:Q$18)-D172-MAX(0,-C177)*IFERROR(SUMPRODUCT('2. Investicijos'!$N$5:$N$18,'2. Investicijos'!$O$5:$O$18/100)/SUM('2. Investicijos'!$N$5:$N$18),0)</f>
        <v>#VALUE!</v>
      </c>
      <c r="E177" s="62" t="e" cm="1">
        <f t="array" ref="E177">D177+('3. Finansinės prielaidos'!E31-'3. Finansinės prielaidos'!D31)+E174+E171+SUMPRODUCT('4. Metinis CAPEX'!H$9:H$22,IFERROR(('2. Investicijos'!$I$5:$I$18+'2. Investicijos'!$J$5:$J$18+'2. Investicijos'!$K$5:$K$18+'2. Investicijos'!$L$5:$L$18)/'2. Investicijos'!$H$5:$H$18,0))-E170-SUM(R$5:R$18)-E172-MAX(0,-D177)*IFERROR(SUMPRODUCT('2. Investicijos'!$N$5:$N$18,'2. Investicijos'!$O$5:$O$18/100)/SUM('2. Investicijos'!$N$5:$N$18),0)</f>
        <v>#VALUE!</v>
      </c>
      <c r="F177" s="62" t="e" cm="1">
        <f t="array" ref="F177">E177+('3. Finansinės prielaidos'!F31-'3. Finansinės prielaidos'!E31)+F174+F171+SUMPRODUCT('4. Metinis CAPEX'!I$9:I$22,IFERROR(('2. Investicijos'!$I$5:$I$18+'2. Investicijos'!$J$5:$J$18+'2. Investicijos'!$K$5:$K$18+'2. Investicijos'!$L$5:$L$18)/'2. Investicijos'!$H$5:$H$18,0))-F170-SUM(S$5:S$18)-F172-MAX(0,-E177)*IFERROR(SUMPRODUCT('2. Investicijos'!$N$5:$N$18,'2. Investicijos'!$O$5:$O$18/100)/SUM('2. Investicijos'!$N$5:$N$18),0)</f>
        <v>#VALUE!</v>
      </c>
      <c r="G177" s="62" t="e" cm="1">
        <f t="array" ref="G177">F177+('3. Finansinės prielaidos'!G31-'3. Finansinės prielaidos'!F31)+G174+G171+SUMPRODUCT('4. Metinis CAPEX'!J$9:J$22,IFERROR(('2. Investicijos'!$I$5:$I$18+'2. Investicijos'!$J$5:$J$18+'2. Investicijos'!$K$5:$K$18+'2. Investicijos'!$L$5:$L$18)/'2. Investicijos'!$H$5:$H$18,0))-G170-SUM(T$5:T$18)-G172-MAX(0,-F177)*IFERROR(SUMPRODUCT('2. Investicijos'!$N$5:$N$18,'2. Investicijos'!$O$5:$O$18/100)/SUM('2. Investicijos'!$N$5:$N$18),0)</f>
        <v>#VALUE!</v>
      </c>
      <c r="H177" s="62" t="e" cm="1">
        <f t="array" ref="H177">G177+('3. Finansinės prielaidos'!H31-'3. Finansinės prielaidos'!G31)+H174+H171+SUMPRODUCT('4. Metinis CAPEX'!K$9:K$22,IFERROR(('2. Investicijos'!$I$5:$I$18+'2. Investicijos'!$J$5:$J$18+'2. Investicijos'!$K$5:$K$18+'2. Investicijos'!$L$5:$L$18)/'2. Investicijos'!$H$5:$H$18,0))-H170-SUM(U$5:U$18)-H172-MAX(0,-G177)*IFERROR(SUMPRODUCT('2. Investicijos'!$N$5:$N$18,'2. Investicijos'!$O$5:$O$18/100)/SUM('2. Investicijos'!$N$5:$N$18),0)</f>
        <v>#VALUE!</v>
      </c>
      <c r="I177" s="62" t="e" cm="1">
        <f t="array" ref="I177">H177+('3. Finansinės prielaidos'!I31-'3. Finansinės prielaidos'!H31)+I174+I171+SUMPRODUCT('4. Metinis CAPEX'!L$9:L$22,IFERROR(('2. Investicijos'!$I$5:$I$18+'2. Investicijos'!$J$5:$J$18+'2. Investicijos'!$K$5:$K$18+'2. Investicijos'!$L$5:$L$18)/'2. Investicijos'!$H$5:$H$18,0))-I170-SUM(V$5:V$18)-I172-MAX(0,-H177)*IFERROR(SUMPRODUCT('2. Investicijos'!$N$5:$N$18,'2. Investicijos'!$O$5:$O$18/100)/SUM('2. Investicijos'!$N$5:$N$18),0)</f>
        <v>#VALUE!</v>
      </c>
      <c r="J177" s="62" t="e" cm="1">
        <f t="array" ref="J177">I177+('3. Finansinės prielaidos'!J31-'3. Finansinės prielaidos'!I31)+J174+J171+SUMPRODUCT('4. Metinis CAPEX'!M$9:M$22,IFERROR(('2. Investicijos'!$I$5:$I$18+'2. Investicijos'!$J$5:$J$18+'2. Investicijos'!$K$5:$K$18+'2. Investicijos'!$L$5:$L$18)/'2. Investicijos'!$H$5:$H$18,0))-J170-SUM(W$5:W$18)-J172-MAX(0,-I177)*IFERROR(SUMPRODUCT('2. Investicijos'!$N$5:$N$18,'2. Investicijos'!$O$5:$O$18/100)/SUM('2. Investicijos'!$N$5:$N$18),0)</f>
        <v>#VALUE!</v>
      </c>
      <c r="K177" s="62" t="e" cm="1">
        <f t="array" ref="K177">J177+('3. Finansinės prielaidos'!K31-'3. Finansinės prielaidos'!J31)+K174+K171+SUMPRODUCT('4. Metinis CAPEX'!N$9:N$22,IFERROR(('2. Investicijos'!$I$5:$I$18+'2. Investicijos'!$J$5:$J$18+'2. Investicijos'!$K$5:$K$18+'2. Investicijos'!$L$5:$L$18)/'2. Investicijos'!$H$5:$H$18,0))-K170-SUM(X$5:X$18)-K172-MAX(0,-J177)*IFERROR(SUMPRODUCT('2. Investicijos'!$N$5:$N$18,'2. Investicijos'!$O$5:$O$18/100)/SUM('2. Investicijos'!$N$5:$N$18),0)</f>
        <v>#VALUE!</v>
      </c>
      <c r="L177" s="62" t="e" cm="1">
        <f t="array" ref="L177">K177+('3. Finansinės prielaidos'!L31-'3. Finansinės prielaidos'!K31)+L174+L171+SUMPRODUCT('4. Metinis CAPEX'!O$9:O$22,IFERROR(('2. Investicijos'!$I$5:$I$18+'2. Investicijos'!$J$5:$J$18+'2. Investicijos'!$K$5:$K$18+'2. Investicijos'!$L$5:$L$18)/'2. Investicijos'!$H$5:$H$18,0))-L170-SUM(Y$5:Y$18)-L172-MAX(0,-K177)*IFERROR(SUMPRODUCT('2. Investicijos'!$N$5:$N$18,'2. Investicijos'!$O$5:$O$18/100)/SUM('2. Investicijos'!$N$5:$N$18),0)</f>
        <v>#VALUE!</v>
      </c>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row>
    <row r="178" spans="1:45">
      <c r="A178" s="57">
        <v>14</v>
      </c>
      <c r="B178" s="57" t="s">
        <v>23</v>
      </c>
      <c r="C178" s="62" t="e">
        <f t="shared" ref="C178:L178" si="95">IF(OR(C175="",C176="",C177="",C175&lt;=0),"",(C176-C177)/C175)</f>
        <v>#VALUE!</v>
      </c>
      <c r="D178" s="62" t="e">
        <f t="shared" si="95"/>
        <v>#VALUE!</v>
      </c>
      <c r="E178" s="62" t="e">
        <f t="shared" si="95"/>
        <v>#VALUE!</v>
      </c>
      <c r="F178" s="62" t="e">
        <f t="shared" si="95"/>
        <v>#VALUE!</v>
      </c>
      <c r="G178" s="62" t="e">
        <f t="shared" si="95"/>
        <v>#VALUE!</v>
      </c>
      <c r="H178" s="62" t="e">
        <f t="shared" si="95"/>
        <v>#VALUE!</v>
      </c>
      <c r="I178" s="62" t="e">
        <f t="shared" si="95"/>
        <v>#VALUE!</v>
      </c>
      <c r="J178" s="62" t="e">
        <f t="shared" si="95"/>
        <v>#VALUE!</v>
      </c>
      <c r="K178" s="62" t="e">
        <f t="shared" si="95"/>
        <v>#VALUE!</v>
      </c>
      <c r="L178" s="62" t="e">
        <f t="shared" si="95"/>
        <v>#VALUE!</v>
      </c>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row>
    <row r="179" spans="1:45">
      <c r="A179" s="57">
        <v>14</v>
      </c>
      <c r="B179" s="57" t="s">
        <v>24</v>
      </c>
      <c r="C179" s="62" t="e">
        <f>IF(OR(C175="",C175&lt;=0,'3. Finansinės prielaidos'!C32=""),"",IF('3. Finansinės prielaidos'!C32+SUM(P$5:P$18)+C172+0=0,999999,C175/('3. Finansinės prielaidos'!C32+SUM(P$5:P$18)+C172+0)))</f>
        <v>#VALUE!</v>
      </c>
      <c r="D179" s="62" t="e" cm="1">
        <f t="array" ref="D179">IF(OR(D175="",D175&lt;=0,'3. Finansinės prielaidos'!D32=""),"",IF('3. Finansinės prielaidos'!D32+SUM(Q$5:Q$18)+D172+MAX(0,-C177)*IFERROR(SUMPRODUCT('2. Investicijos'!$N$5:$N$18,'2. Investicijos'!$O$5:$O$18/100)/SUM('2. Investicijos'!$N$5:$N$18),0)=0,999999,D175/('3. Finansinės prielaidos'!D32+SUM(Q$5:Q$18)+D172+MAX(0,-C177)*IFERROR(SUMPRODUCT('2. Investicijos'!$N$5:$N$18,'2. Investicijos'!$O$5:$O$18/100)/SUM('2. Investicijos'!$N$5:$N$18),0))))</f>
        <v>#VALUE!</v>
      </c>
      <c r="E179" s="62" t="e" cm="1">
        <f t="array" ref="E179">IF(OR(E175="",E175&lt;=0,'3. Finansinės prielaidos'!E32=""),"",IF('3. Finansinės prielaidos'!E32+SUM(R$5:R$18)+E172+MAX(0,-D177)*IFERROR(SUMPRODUCT('2. Investicijos'!$N$5:$N$18,'2. Investicijos'!$O$5:$O$18/100)/SUM('2. Investicijos'!$N$5:$N$18),0)=0,999999,E175/('3. Finansinės prielaidos'!E32+SUM(R$5:R$18)+E172+MAX(0,-D177)*IFERROR(SUMPRODUCT('2. Investicijos'!$N$5:$N$18,'2. Investicijos'!$O$5:$O$18/100)/SUM('2. Investicijos'!$N$5:$N$18),0))))</f>
        <v>#VALUE!</v>
      </c>
      <c r="F179" s="62" t="e" cm="1">
        <f t="array" ref="F179">IF(OR(F175="",F175&lt;=0,'3. Finansinės prielaidos'!F32=""),"",IF('3. Finansinės prielaidos'!F32+SUM(S$5:S$18)+F172+MAX(0,-E177)*IFERROR(SUMPRODUCT('2. Investicijos'!$N$5:$N$18,'2. Investicijos'!$O$5:$O$18/100)/SUM('2. Investicijos'!$N$5:$N$18),0)=0,999999,F175/('3. Finansinės prielaidos'!F32+SUM(S$5:S$18)+F172+MAX(0,-E177)*IFERROR(SUMPRODUCT('2. Investicijos'!$N$5:$N$18,'2. Investicijos'!$O$5:$O$18/100)/SUM('2. Investicijos'!$N$5:$N$18),0))))</f>
        <v>#VALUE!</v>
      </c>
      <c r="G179" s="62" t="e" cm="1">
        <f t="array" ref="G179">IF(OR(G175="",G175&lt;=0,'3. Finansinės prielaidos'!G32=""),"",IF('3. Finansinės prielaidos'!G32+SUM(T$5:T$18)+G172+MAX(0,-F177)*IFERROR(SUMPRODUCT('2. Investicijos'!$N$5:$N$18,'2. Investicijos'!$O$5:$O$18/100)/SUM('2. Investicijos'!$N$5:$N$18),0)=0,999999,G175/('3. Finansinės prielaidos'!G32+SUM(T$5:T$18)+G172+MAX(0,-F177)*IFERROR(SUMPRODUCT('2. Investicijos'!$N$5:$N$18,'2. Investicijos'!$O$5:$O$18/100)/SUM('2. Investicijos'!$N$5:$N$18),0))))</f>
        <v>#VALUE!</v>
      </c>
      <c r="H179" s="62" t="e" cm="1">
        <f t="array" ref="H179">IF(OR(H175="",H175&lt;=0,'3. Finansinės prielaidos'!H32=""),"",IF('3. Finansinės prielaidos'!H32+SUM(U$5:U$18)+H172+MAX(0,-G177)*IFERROR(SUMPRODUCT('2. Investicijos'!$N$5:$N$18,'2. Investicijos'!$O$5:$O$18/100)/SUM('2. Investicijos'!$N$5:$N$18),0)=0,999999,H175/('3. Finansinės prielaidos'!H32+SUM(U$5:U$18)+H172+MAX(0,-G177)*IFERROR(SUMPRODUCT('2. Investicijos'!$N$5:$N$18,'2. Investicijos'!$O$5:$O$18/100)/SUM('2. Investicijos'!$N$5:$N$18),0))))</f>
        <v>#VALUE!</v>
      </c>
      <c r="I179" s="62" t="e" cm="1">
        <f t="array" ref="I179">IF(OR(I175="",I175&lt;=0,'3. Finansinės prielaidos'!I32=""),"",IF('3. Finansinės prielaidos'!I32+SUM(V$5:V$18)+I172+MAX(0,-H177)*IFERROR(SUMPRODUCT('2. Investicijos'!$N$5:$N$18,'2. Investicijos'!$O$5:$O$18/100)/SUM('2. Investicijos'!$N$5:$N$18),0)=0,999999,I175/('3. Finansinės prielaidos'!I32+SUM(V$5:V$18)+I172+MAX(0,-H177)*IFERROR(SUMPRODUCT('2. Investicijos'!$N$5:$N$18,'2. Investicijos'!$O$5:$O$18/100)/SUM('2. Investicijos'!$N$5:$N$18),0))))</f>
        <v>#VALUE!</v>
      </c>
      <c r="J179" s="62" t="e" cm="1">
        <f t="array" ref="J179">IF(OR(J175="",J175&lt;=0,'3. Finansinės prielaidos'!J32=""),"",IF('3. Finansinės prielaidos'!J32+SUM(W$5:W$18)+J172+MAX(0,-I177)*IFERROR(SUMPRODUCT('2. Investicijos'!$N$5:$N$18,'2. Investicijos'!$O$5:$O$18/100)/SUM('2. Investicijos'!$N$5:$N$18),0)=0,999999,J175/('3. Finansinės prielaidos'!J32+SUM(W$5:W$18)+J172+MAX(0,-I177)*IFERROR(SUMPRODUCT('2. Investicijos'!$N$5:$N$18,'2. Investicijos'!$O$5:$O$18/100)/SUM('2. Investicijos'!$N$5:$N$18),0))))</f>
        <v>#VALUE!</v>
      </c>
      <c r="K179" s="62" t="e" cm="1">
        <f t="array" ref="K179">IF(OR(K175="",K175&lt;=0,'3. Finansinės prielaidos'!K32=""),"",IF('3. Finansinės prielaidos'!K32+SUM(X$5:X$18)+K172+MAX(0,-J177)*IFERROR(SUMPRODUCT('2. Investicijos'!$N$5:$N$18,'2. Investicijos'!$O$5:$O$18/100)/SUM('2. Investicijos'!$N$5:$N$18),0)=0,999999,K175/('3. Finansinės prielaidos'!K32+SUM(X$5:X$18)+K172+MAX(0,-J177)*IFERROR(SUMPRODUCT('2. Investicijos'!$N$5:$N$18,'2. Investicijos'!$O$5:$O$18/100)/SUM('2. Investicijos'!$N$5:$N$18),0))))</f>
        <v>#VALUE!</v>
      </c>
      <c r="L179" s="62" t="e" cm="1">
        <f t="array" ref="L179">IF(OR(L175="",L175&lt;=0,'3. Finansinės prielaidos'!L32=""),"",IF('3. Finansinės prielaidos'!L32+SUM(Y$5:Y$18)+L172+MAX(0,-K177)*IFERROR(SUMPRODUCT('2. Investicijos'!$N$5:$N$18,'2. Investicijos'!$O$5:$O$18/100)/SUM('2. Investicijos'!$N$5:$N$18),0)=0,999999,L175/('3. Finansinės prielaidos'!L32+SUM(Y$5:Y$18)+L172+MAX(0,-K177)*IFERROR(SUMPRODUCT('2. Investicijos'!$N$5:$N$18,'2. Investicijos'!$O$5:$O$18/100)/SUM('2. Investicijos'!$N$5:$N$18),0))))</f>
        <v>#VALUE!</v>
      </c>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row>
    <row r="180" spans="1:45">
      <c r="A180" s="57">
        <v>15</v>
      </c>
      <c r="B180" s="57" t="s">
        <v>58</v>
      </c>
      <c r="C180" s="62">
        <f>SUM('4. Metinis CAPEX'!F$9:F$23)</f>
        <v>0</v>
      </c>
      <c r="D180" s="62">
        <f>SUM('4. Metinis CAPEX'!G$9:G$23)</f>
        <v>0</v>
      </c>
      <c r="E180" s="62">
        <f>SUM('4. Metinis CAPEX'!H$9:H$23)</f>
        <v>0</v>
      </c>
      <c r="F180" s="62">
        <f>SUM('4. Metinis CAPEX'!I$9:I$23)</f>
        <v>0</v>
      </c>
      <c r="G180" s="62">
        <f>SUM('4. Metinis CAPEX'!J$9:J$23)</f>
        <v>0</v>
      </c>
      <c r="H180" s="62">
        <f>SUM('4. Metinis CAPEX'!K$9:K$23)</f>
        <v>0</v>
      </c>
      <c r="I180" s="62">
        <f>SUM('4. Metinis CAPEX'!L$9:L$23)</f>
        <v>0</v>
      </c>
      <c r="J180" s="62">
        <f>SUM('4. Metinis CAPEX'!M$9:M$23)</f>
        <v>0</v>
      </c>
      <c r="K180" s="62">
        <f>SUM('4. Metinis CAPEX'!N$9:N$23)</f>
        <v>0</v>
      </c>
      <c r="L180" s="62">
        <f>SUM('4. Metinis CAPEX'!O$9:O$23)</f>
        <v>0</v>
      </c>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row>
    <row r="181" spans="1:45">
      <c r="A181" s="57">
        <v>15</v>
      </c>
      <c r="B181" s="57" t="s">
        <v>59</v>
      </c>
      <c r="C181" s="62">
        <f t="shared" ref="C181:L181" si="96">SUM(F$5:F$19)</f>
        <v>0</v>
      </c>
      <c r="D181" s="62">
        <f t="shared" si="96"/>
        <v>0</v>
      </c>
      <c r="E181" s="62">
        <f t="shared" si="96"/>
        <v>0</v>
      </c>
      <c r="F181" s="62">
        <f t="shared" si="96"/>
        <v>0</v>
      </c>
      <c r="G181" s="62">
        <f t="shared" si="96"/>
        <v>0</v>
      </c>
      <c r="H181" s="62">
        <f t="shared" si="96"/>
        <v>0</v>
      </c>
      <c r="I181" s="62">
        <f t="shared" si="96"/>
        <v>0</v>
      </c>
      <c r="J181" s="62">
        <f t="shared" si="96"/>
        <v>0</v>
      </c>
      <c r="K181" s="62">
        <f t="shared" si="96"/>
        <v>0</v>
      </c>
      <c r="L181" s="62">
        <f t="shared" si="96"/>
        <v>0</v>
      </c>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row>
    <row r="182" spans="1:45">
      <c r="A182" s="57">
        <v>15</v>
      </c>
      <c r="B182" s="57" t="s">
        <v>60</v>
      </c>
      <c r="C182" s="62">
        <f t="shared" ref="C182:L182" si="97">SUM(Z$5:Z$19)</f>
        <v>0</v>
      </c>
      <c r="D182" s="62">
        <f t="shared" si="97"/>
        <v>0</v>
      </c>
      <c r="E182" s="62">
        <f t="shared" si="97"/>
        <v>0</v>
      </c>
      <c r="F182" s="62">
        <f t="shared" si="97"/>
        <v>0</v>
      </c>
      <c r="G182" s="62">
        <f t="shared" si="97"/>
        <v>0</v>
      </c>
      <c r="H182" s="62">
        <f t="shared" si="97"/>
        <v>0</v>
      </c>
      <c r="I182" s="62">
        <f t="shared" si="97"/>
        <v>0</v>
      </c>
      <c r="J182" s="62">
        <f t="shared" si="97"/>
        <v>0</v>
      </c>
      <c r="K182" s="62">
        <f t="shared" si="97"/>
        <v>0</v>
      </c>
      <c r="L182" s="62">
        <f t="shared" si="97"/>
        <v>0</v>
      </c>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row>
    <row r="183" spans="1:45">
      <c r="A183" s="57">
        <v>15</v>
      </c>
      <c r="B183" s="57" t="s">
        <v>61</v>
      </c>
      <c r="C183" s="62">
        <f t="shared" ref="C183:L183" si="98">SUM(AJ$5:AJ$19)</f>
        <v>0</v>
      </c>
      <c r="D183" s="62">
        <f t="shared" si="98"/>
        <v>0</v>
      </c>
      <c r="E183" s="62">
        <f t="shared" si="98"/>
        <v>0</v>
      </c>
      <c r="F183" s="62">
        <f t="shared" si="98"/>
        <v>0</v>
      </c>
      <c r="G183" s="62">
        <f t="shared" si="98"/>
        <v>0</v>
      </c>
      <c r="H183" s="62">
        <f t="shared" si="98"/>
        <v>0</v>
      </c>
      <c r="I183" s="62">
        <f t="shared" si="98"/>
        <v>0</v>
      </c>
      <c r="J183" s="62">
        <f t="shared" si="98"/>
        <v>0</v>
      </c>
      <c r="K183" s="62">
        <f t="shared" si="98"/>
        <v>0</v>
      </c>
      <c r="L183" s="62">
        <f t="shared" si="98"/>
        <v>0</v>
      </c>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row>
    <row r="184" spans="1:45">
      <c r="A184" s="57">
        <v>15</v>
      </c>
      <c r="B184" s="57" t="s">
        <v>155</v>
      </c>
      <c r="C184" s="62" t="e" cm="1">
        <f t="array" ref="C184">SUMPRODUCT(--(2026&gt;'2. Investicijos'!$F$5:$F$19),--(2026&lt;='2. Investicijos'!$F$5:$F$19+'2. Investicijos'!$G$5:$G$19),IFERROR(('2. Investicijos'!$M$5:$M$19+'2. Investicijos'!$N$5:$N$19)/'2. Investicijos'!$G$5:$G$19,0))+SUMPRODUCT(--(2026&gt;'2. Investicijos'!$F$5:$F$19),--(2026&lt;='2. Investicijos'!$F$5:$F$19+'2. Investicijos'!$G$5:$G$19),IFERROR(('2. Investicijos'!$M$5:$M$19+'2. Investicijos'!$N$5:$N$19)*(1-((2026-'2. Investicijos'!$F$5:$F$19)-1)/'2. Investicijos'!$G$5:$G$19),0)*'5. 0% scenarijus'!$C$5)</f>
        <v>#VALUE!</v>
      </c>
      <c r="D184" s="62" t="e" cm="1">
        <f t="array" ref="D184">SUMPRODUCT(--(2027&gt;'2. Investicijos'!$F$5:$F$19),--(2027&lt;='2. Investicijos'!$F$5:$F$19+'2. Investicijos'!$G$5:$G$19),IFERROR(('2. Investicijos'!$M$5:$M$19+'2. Investicijos'!$N$5:$N$19)/'2. Investicijos'!$G$5:$G$19,0))+SUMPRODUCT(--(2027&gt;'2. Investicijos'!$F$5:$F$19),--(2027&lt;='2. Investicijos'!$F$5:$F$19+'2. Investicijos'!$G$5:$G$19),IFERROR(('2. Investicijos'!$M$5:$M$19+'2. Investicijos'!$N$5:$N$19)*(1-((2027-'2. Investicijos'!$F$5:$F$19)-1)/'2. Investicijos'!$G$5:$G$19),0)*'5. 0% scenarijus'!$C$5)</f>
        <v>#VALUE!</v>
      </c>
      <c r="E184" s="62" t="e" cm="1">
        <f t="array" ref="E184">SUMPRODUCT(--(2028&gt;'2. Investicijos'!$F$5:$F$19),--(2028&lt;='2. Investicijos'!$F$5:$F$19+'2. Investicijos'!$G$5:$G$19),IFERROR(('2. Investicijos'!$M$5:$M$19+'2. Investicijos'!$N$5:$N$19)/'2. Investicijos'!$G$5:$G$19,0))+SUMPRODUCT(--(2028&gt;'2. Investicijos'!$F$5:$F$19),--(2028&lt;='2. Investicijos'!$F$5:$F$19+'2. Investicijos'!$G$5:$G$19),IFERROR(('2. Investicijos'!$M$5:$M$19+'2. Investicijos'!$N$5:$N$19)*(1-((2028-'2. Investicijos'!$F$5:$F$19)-1)/'2. Investicijos'!$G$5:$G$19),0)*'5. 0% scenarijus'!$C$5)</f>
        <v>#VALUE!</v>
      </c>
      <c r="F184" s="62" t="e" cm="1">
        <f t="array" ref="F184">SUMPRODUCT(--(2029&gt;'2. Investicijos'!$F$5:$F$19),--(2029&lt;='2. Investicijos'!$F$5:$F$19+'2. Investicijos'!$G$5:$G$19),IFERROR(('2. Investicijos'!$M$5:$M$19+'2. Investicijos'!$N$5:$N$19)/'2. Investicijos'!$G$5:$G$19,0))+SUMPRODUCT(--(2029&gt;'2. Investicijos'!$F$5:$F$19),--(2029&lt;='2. Investicijos'!$F$5:$F$19+'2. Investicijos'!$G$5:$G$19),IFERROR(('2. Investicijos'!$M$5:$M$19+'2. Investicijos'!$N$5:$N$19)*(1-((2029-'2. Investicijos'!$F$5:$F$19)-1)/'2. Investicijos'!$G$5:$G$19),0)*'5. 0% scenarijus'!$C$5)</f>
        <v>#VALUE!</v>
      </c>
      <c r="G184" s="62" t="e" cm="1">
        <f t="array" ref="G184">SUMPRODUCT(--(2030&gt;'2. Investicijos'!$F$5:$F$19),--(2030&lt;='2. Investicijos'!$F$5:$F$19+'2. Investicijos'!$G$5:$G$19),IFERROR(('2. Investicijos'!$M$5:$M$19+'2. Investicijos'!$N$5:$N$19)/'2. Investicijos'!$G$5:$G$19,0))+SUMPRODUCT(--(2030&gt;'2. Investicijos'!$F$5:$F$19),--(2030&lt;='2. Investicijos'!$F$5:$F$19+'2. Investicijos'!$G$5:$G$19),IFERROR(('2. Investicijos'!$M$5:$M$19+'2. Investicijos'!$N$5:$N$19)*(1-((2030-'2. Investicijos'!$F$5:$F$19)-1)/'2. Investicijos'!$G$5:$G$19),0)*'5. 0% scenarijus'!$C$5)</f>
        <v>#VALUE!</v>
      </c>
      <c r="H184" s="62" t="e" cm="1">
        <f t="array" ref="H184">SUMPRODUCT(--(2031&gt;'2. Investicijos'!$F$5:$F$19),--(2031&lt;='2. Investicijos'!$F$5:$F$19+'2. Investicijos'!$G$5:$G$19),IFERROR(('2. Investicijos'!$M$5:$M$19+'2. Investicijos'!$N$5:$N$19)/'2. Investicijos'!$G$5:$G$19,0))+SUMPRODUCT(--(2031&gt;'2. Investicijos'!$F$5:$F$19),--(2031&lt;='2. Investicijos'!$F$5:$F$19+'2. Investicijos'!$G$5:$G$19),IFERROR(('2. Investicijos'!$M$5:$M$19+'2. Investicijos'!$N$5:$N$19)*(1-((2031-'2. Investicijos'!$F$5:$F$19)-1)/'2. Investicijos'!$G$5:$G$19),0)*'5. 0% scenarijus'!$C$5)</f>
        <v>#VALUE!</v>
      </c>
      <c r="I184" s="62" t="e" cm="1">
        <f t="array" ref="I184">SUMPRODUCT(--(2032&gt;'2. Investicijos'!$F$5:$F$19),--(2032&lt;='2. Investicijos'!$F$5:$F$19+'2. Investicijos'!$G$5:$G$19),IFERROR(('2. Investicijos'!$M$5:$M$19+'2. Investicijos'!$N$5:$N$19)/'2. Investicijos'!$G$5:$G$19,0))+SUMPRODUCT(--(2032&gt;'2. Investicijos'!$F$5:$F$19),--(2032&lt;='2. Investicijos'!$F$5:$F$19+'2. Investicijos'!$G$5:$G$19),IFERROR(('2. Investicijos'!$M$5:$M$19+'2. Investicijos'!$N$5:$N$19)*(1-((2032-'2. Investicijos'!$F$5:$F$19)-1)/'2. Investicijos'!$G$5:$G$19),0)*'5. 0% scenarijus'!$C$5)</f>
        <v>#VALUE!</v>
      </c>
      <c r="J184" s="62" t="e" cm="1">
        <f t="array" ref="J184">SUMPRODUCT(--(2033&gt;'2. Investicijos'!$F$5:$F$19),--(2033&lt;='2. Investicijos'!$F$5:$F$19+'2. Investicijos'!$G$5:$G$19),IFERROR(('2. Investicijos'!$M$5:$M$19+'2. Investicijos'!$N$5:$N$19)/'2. Investicijos'!$G$5:$G$19,0))+SUMPRODUCT(--(2033&gt;'2. Investicijos'!$F$5:$F$19),--(2033&lt;='2. Investicijos'!$F$5:$F$19+'2. Investicijos'!$G$5:$G$19),IFERROR(('2. Investicijos'!$M$5:$M$19+'2. Investicijos'!$N$5:$N$19)*(1-((2033-'2. Investicijos'!$F$5:$F$19)-1)/'2. Investicijos'!$G$5:$G$19),0)*'5. 0% scenarijus'!$C$5)</f>
        <v>#VALUE!</v>
      </c>
      <c r="K184" s="62" t="e" cm="1">
        <f t="array" ref="K184">SUMPRODUCT(--(2034&gt;'2. Investicijos'!$F$5:$F$19),--(2034&lt;='2. Investicijos'!$F$5:$F$19+'2. Investicijos'!$G$5:$G$19),IFERROR(('2. Investicijos'!$M$5:$M$19+'2. Investicijos'!$N$5:$N$19)/'2. Investicijos'!$G$5:$G$19,0))+SUMPRODUCT(--(2034&gt;'2. Investicijos'!$F$5:$F$19),--(2034&lt;='2. Investicijos'!$F$5:$F$19+'2. Investicijos'!$G$5:$G$19),IFERROR(('2. Investicijos'!$M$5:$M$19+'2. Investicijos'!$N$5:$N$19)*(1-((2034-'2. Investicijos'!$F$5:$F$19)-1)/'2. Investicijos'!$G$5:$G$19),0)*'5. 0% scenarijus'!$C$5)</f>
        <v>#VALUE!</v>
      </c>
      <c r="L184" s="62" t="e" cm="1">
        <f t="array" ref="L184">SUMPRODUCT(--(2035&gt;'2. Investicijos'!$F$5:$F$19),--(2035&lt;='2. Investicijos'!$F$5:$F$19+'2. Investicijos'!$G$5:$G$19),IFERROR(('2. Investicijos'!$M$5:$M$19+'2. Investicijos'!$N$5:$N$19)/'2. Investicijos'!$G$5:$G$19,0))+SUMPRODUCT(--(2035&gt;'2. Investicijos'!$F$5:$F$19),--(2035&lt;='2. Investicijos'!$F$5:$F$19+'2. Investicijos'!$G$5:$G$19),IFERROR(('2. Investicijos'!$M$5:$M$19+'2. Investicijos'!$N$5:$N$19)*(1-((2035-'2. Investicijos'!$F$5:$F$19)-1)/'2. Investicijos'!$G$5:$G$19),0)*'5. 0% scenarijus'!$C$5)</f>
        <v>#VALUE!</v>
      </c>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row>
    <row r="185" spans="1:45">
      <c r="A185" s="57">
        <v>15</v>
      </c>
      <c r="B185" s="57" t="s">
        <v>62</v>
      </c>
      <c r="C185" s="62" t="e">
        <f>'3. Finansinės prielaidos'!C29+C184</f>
        <v>#VALUE!</v>
      </c>
      <c r="D185" s="62" t="e">
        <f>'3. Finansinės prielaidos'!D29+D184</f>
        <v>#VALUE!</v>
      </c>
      <c r="E185" s="62" t="e">
        <f>'3. Finansinės prielaidos'!E29+E184</f>
        <v>#VALUE!</v>
      </c>
      <c r="F185" s="62" t="e">
        <f>'3. Finansinės prielaidos'!F29+F184</f>
        <v>#VALUE!</v>
      </c>
      <c r="G185" s="62" t="e">
        <f>'3. Finansinės prielaidos'!G29+G184</f>
        <v>#VALUE!</v>
      </c>
      <c r="H185" s="62" t="e">
        <f>'3. Finansinės prielaidos'!H29+H184</f>
        <v>#VALUE!</v>
      </c>
      <c r="I185" s="62" t="e">
        <f>'3. Finansinės prielaidos'!I29+I184</f>
        <v>#VALUE!</v>
      </c>
      <c r="J185" s="62" t="e">
        <f>'3. Finansinės prielaidos'!J29+J184</f>
        <v>#VALUE!</v>
      </c>
      <c r="K185" s="62" t="e">
        <f>'3. Finansinės prielaidos'!K29+K184</f>
        <v>#VALUE!</v>
      </c>
      <c r="L185" s="62" t="e">
        <f>'3. Finansinės prielaidos'!L29+L184</f>
        <v>#VALUE!</v>
      </c>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row>
    <row r="186" spans="1:45">
      <c r="A186" s="57">
        <v>15</v>
      </c>
      <c r="B186" s="57" t="s">
        <v>159</v>
      </c>
      <c r="C186" s="62">
        <f>'3. Finansinės prielaidos'!C30+C183</f>
        <v>0</v>
      </c>
      <c r="D186" s="62">
        <f>'3. Finansinės prielaidos'!D30+D183</f>
        <v>0</v>
      </c>
      <c r="E186" s="62">
        <f>'3. Finansinės prielaidos'!E30+E183</f>
        <v>0</v>
      </c>
      <c r="F186" s="62">
        <f>'3. Finansinės prielaidos'!F30+F183</f>
        <v>0</v>
      </c>
      <c r="G186" s="62">
        <f>'3. Finansinės prielaidos'!G30+G183</f>
        <v>0</v>
      </c>
      <c r="H186" s="62">
        <f>'3. Finansinės prielaidos'!H30+H183</f>
        <v>0</v>
      </c>
      <c r="I186" s="62">
        <f>'3. Finansinės prielaidos'!I30+I183</f>
        <v>0</v>
      </c>
      <c r="J186" s="62">
        <f>'3. Finansinės prielaidos'!J30+J183</f>
        <v>0</v>
      </c>
      <c r="K186" s="62">
        <f>'3. Finansinės prielaidos'!K30+K183</f>
        <v>0</v>
      </c>
      <c r="L186" s="62">
        <f>'3. Finansinės prielaidos'!L30+L183</f>
        <v>0</v>
      </c>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row>
    <row r="187" spans="1:45">
      <c r="A187" s="57">
        <v>15</v>
      </c>
      <c r="B187" s="57" t="s">
        <v>160</v>
      </c>
      <c r="C187" s="62" t="e" cm="1">
        <f t="array" ref="C187">'3. Finansinės prielaidos'!C31+C184+C181+SUMPRODUCT('4. Metinis CAPEX'!F$9:F$23,IFERROR(('2. Investicijos'!$I$5:$I$19+'2. Investicijos'!$J$5:$J$19+'2. Investicijos'!$K$5:$K$19+'2. Investicijos'!$L$5:$L$19)/'2. Investicijos'!$H$5:$H$19,0))-C180-SUM(P$5:P$19)-C182-0</f>
        <v>#VALUE!</v>
      </c>
      <c r="D187" s="62" t="e" cm="1">
        <f t="array" ref="D187">C187+('3. Finansinės prielaidos'!D31-'3. Finansinės prielaidos'!C31)+D184+D181+SUMPRODUCT('4. Metinis CAPEX'!G$9:G$23,IFERROR(('2. Investicijos'!$I$5:$I$19+'2. Investicijos'!$J$5:$J$19+'2. Investicijos'!$K$5:$K$19+'2. Investicijos'!$L$5:$L$19)/'2. Investicijos'!$H$5:$H$19,0))-D180-SUM(Q$5:Q$19)-D182-MAX(0,-C187)*IFERROR(SUMPRODUCT('2. Investicijos'!$N$5:$N$19,'2. Investicijos'!$O$5:$O$19/100)/SUM('2. Investicijos'!$N$5:$N$19),0)</f>
        <v>#VALUE!</v>
      </c>
      <c r="E187" s="62" t="e" cm="1">
        <f t="array" ref="E187">D187+('3. Finansinės prielaidos'!E31-'3. Finansinės prielaidos'!D31)+E184+E181+SUMPRODUCT('4. Metinis CAPEX'!H$9:H$23,IFERROR(('2. Investicijos'!$I$5:$I$19+'2. Investicijos'!$J$5:$J$19+'2. Investicijos'!$K$5:$K$19+'2. Investicijos'!$L$5:$L$19)/'2. Investicijos'!$H$5:$H$19,0))-E180-SUM(R$5:R$19)-E182-MAX(0,-D187)*IFERROR(SUMPRODUCT('2. Investicijos'!$N$5:$N$19,'2. Investicijos'!$O$5:$O$19/100)/SUM('2. Investicijos'!$N$5:$N$19),0)</f>
        <v>#VALUE!</v>
      </c>
      <c r="F187" s="62" t="e" cm="1">
        <f t="array" ref="F187">E187+('3. Finansinės prielaidos'!F31-'3. Finansinės prielaidos'!E31)+F184+F181+SUMPRODUCT('4. Metinis CAPEX'!I$9:I$23,IFERROR(('2. Investicijos'!$I$5:$I$19+'2. Investicijos'!$J$5:$J$19+'2. Investicijos'!$K$5:$K$19+'2. Investicijos'!$L$5:$L$19)/'2. Investicijos'!$H$5:$H$19,0))-F180-SUM(S$5:S$19)-F182-MAX(0,-E187)*IFERROR(SUMPRODUCT('2. Investicijos'!$N$5:$N$19,'2. Investicijos'!$O$5:$O$19/100)/SUM('2. Investicijos'!$N$5:$N$19),0)</f>
        <v>#VALUE!</v>
      </c>
      <c r="G187" s="62" t="e" cm="1">
        <f t="array" ref="G187">F187+('3. Finansinės prielaidos'!G31-'3. Finansinės prielaidos'!F31)+G184+G181+SUMPRODUCT('4. Metinis CAPEX'!J$9:J$23,IFERROR(('2. Investicijos'!$I$5:$I$19+'2. Investicijos'!$J$5:$J$19+'2. Investicijos'!$K$5:$K$19+'2. Investicijos'!$L$5:$L$19)/'2. Investicijos'!$H$5:$H$19,0))-G180-SUM(T$5:T$19)-G182-MAX(0,-F187)*IFERROR(SUMPRODUCT('2. Investicijos'!$N$5:$N$19,'2. Investicijos'!$O$5:$O$19/100)/SUM('2. Investicijos'!$N$5:$N$19),0)</f>
        <v>#VALUE!</v>
      </c>
      <c r="H187" s="62" t="e" cm="1">
        <f t="array" ref="H187">G187+('3. Finansinės prielaidos'!H31-'3. Finansinės prielaidos'!G31)+H184+H181+SUMPRODUCT('4. Metinis CAPEX'!K$9:K$23,IFERROR(('2. Investicijos'!$I$5:$I$19+'2. Investicijos'!$J$5:$J$19+'2. Investicijos'!$K$5:$K$19+'2. Investicijos'!$L$5:$L$19)/'2. Investicijos'!$H$5:$H$19,0))-H180-SUM(U$5:U$19)-H182-MAX(0,-G187)*IFERROR(SUMPRODUCT('2. Investicijos'!$N$5:$N$19,'2. Investicijos'!$O$5:$O$19/100)/SUM('2. Investicijos'!$N$5:$N$19),0)</f>
        <v>#VALUE!</v>
      </c>
      <c r="I187" s="62" t="e" cm="1">
        <f t="array" ref="I187">H187+('3. Finansinės prielaidos'!I31-'3. Finansinės prielaidos'!H31)+I184+I181+SUMPRODUCT('4. Metinis CAPEX'!L$9:L$23,IFERROR(('2. Investicijos'!$I$5:$I$19+'2. Investicijos'!$J$5:$J$19+'2. Investicijos'!$K$5:$K$19+'2. Investicijos'!$L$5:$L$19)/'2. Investicijos'!$H$5:$H$19,0))-I180-SUM(V$5:V$19)-I182-MAX(0,-H187)*IFERROR(SUMPRODUCT('2. Investicijos'!$N$5:$N$19,'2. Investicijos'!$O$5:$O$19/100)/SUM('2. Investicijos'!$N$5:$N$19),0)</f>
        <v>#VALUE!</v>
      </c>
      <c r="J187" s="62" t="e" cm="1">
        <f t="array" ref="J187">I187+('3. Finansinės prielaidos'!J31-'3. Finansinės prielaidos'!I31)+J184+J181+SUMPRODUCT('4. Metinis CAPEX'!M$9:M$23,IFERROR(('2. Investicijos'!$I$5:$I$19+'2. Investicijos'!$J$5:$J$19+'2. Investicijos'!$K$5:$K$19+'2. Investicijos'!$L$5:$L$19)/'2. Investicijos'!$H$5:$H$19,0))-J180-SUM(W$5:W$19)-J182-MAX(0,-I187)*IFERROR(SUMPRODUCT('2. Investicijos'!$N$5:$N$19,'2. Investicijos'!$O$5:$O$19/100)/SUM('2. Investicijos'!$N$5:$N$19),0)</f>
        <v>#VALUE!</v>
      </c>
      <c r="K187" s="62" t="e" cm="1">
        <f t="array" ref="K187">J187+('3. Finansinės prielaidos'!K31-'3. Finansinės prielaidos'!J31)+K184+K181+SUMPRODUCT('4. Metinis CAPEX'!N$9:N$23,IFERROR(('2. Investicijos'!$I$5:$I$19+'2. Investicijos'!$J$5:$J$19+'2. Investicijos'!$K$5:$K$19+'2. Investicijos'!$L$5:$L$19)/'2. Investicijos'!$H$5:$H$19,0))-K180-SUM(X$5:X$19)-K182-MAX(0,-J187)*IFERROR(SUMPRODUCT('2. Investicijos'!$N$5:$N$19,'2. Investicijos'!$O$5:$O$19/100)/SUM('2. Investicijos'!$N$5:$N$19),0)</f>
        <v>#VALUE!</v>
      </c>
      <c r="L187" s="62" t="e" cm="1">
        <f t="array" ref="L187">K187+('3. Finansinės prielaidos'!L31-'3. Finansinės prielaidos'!K31)+L184+L181+SUMPRODUCT('4. Metinis CAPEX'!O$9:O$23,IFERROR(('2. Investicijos'!$I$5:$I$19+'2. Investicijos'!$J$5:$J$19+'2. Investicijos'!$K$5:$K$19+'2. Investicijos'!$L$5:$L$19)/'2. Investicijos'!$H$5:$H$19,0))-L180-SUM(Y$5:Y$19)-L182-MAX(0,-K187)*IFERROR(SUMPRODUCT('2. Investicijos'!$N$5:$N$19,'2. Investicijos'!$O$5:$O$19/100)/SUM('2. Investicijos'!$N$5:$N$19),0)</f>
        <v>#VALUE!</v>
      </c>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row>
    <row r="188" spans="1:45">
      <c r="A188" s="57">
        <v>15</v>
      </c>
      <c r="B188" s="57" t="s">
        <v>23</v>
      </c>
      <c r="C188" s="62" t="e">
        <f t="shared" ref="C188:L188" si="99">IF(OR(C185="",C186="",C187="",C185&lt;=0),"",(C186-C187)/C185)</f>
        <v>#VALUE!</v>
      </c>
      <c r="D188" s="62" t="e">
        <f t="shared" si="99"/>
        <v>#VALUE!</v>
      </c>
      <c r="E188" s="62" t="e">
        <f t="shared" si="99"/>
        <v>#VALUE!</v>
      </c>
      <c r="F188" s="62" t="e">
        <f t="shared" si="99"/>
        <v>#VALUE!</v>
      </c>
      <c r="G188" s="62" t="e">
        <f t="shared" si="99"/>
        <v>#VALUE!</v>
      </c>
      <c r="H188" s="62" t="e">
        <f t="shared" si="99"/>
        <v>#VALUE!</v>
      </c>
      <c r="I188" s="62" t="e">
        <f t="shared" si="99"/>
        <v>#VALUE!</v>
      </c>
      <c r="J188" s="62" t="e">
        <f t="shared" si="99"/>
        <v>#VALUE!</v>
      </c>
      <c r="K188" s="62" t="e">
        <f t="shared" si="99"/>
        <v>#VALUE!</v>
      </c>
      <c r="L188" s="62" t="e">
        <f t="shared" si="99"/>
        <v>#VALUE!</v>
      </c>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row>
    <row r="189" spans="1:45">
      <c r="A189" s="57">
        <v>15</v>
      </c>
      <c r="B189" s="57" t="s">
        <v>24</v>
      </c>
      <c r="C189" s="62" t="e">
        <f>IF(OR(C185="",C185&lt;=0,'3. Finansinės prielaidos'!C32=""),"",IF('3. Finansinės prielaidos'!C32+SUM(P$5:P$19)+C182+0=0,999999,C185/('3. Finansinės prielaidos'!C32+SUM(P$5:P$19)+C182+0)))</f>
        <v>#VALUE!</v>
      </c>
      <c r="D189" s="62" t="e" cm="1">
        <f t="array" ref="D189">IF(OR(D185="",D185&lt;=0,'3. Finansinės prielaidos'!D32=""),"",IF('3. Finansinės prielaidos'!D32+SUM(Q$5:Q$19)+D182+MAX(0,-C187)*IFERROR(SUMPRODUCT('2. Investicijos'!$N$5:$N$19,'2. Investicijos'!$O$5:$O$19/100)/SUM('2. Investicijos'!$N$5:$N$19),0)=0,999999,D185/('3. Finansinės prielaidos'!D32+SUM(Q$5:Q$19)+D182+MAX(0,-C187)*IFERROR(SUMPRODUCT('2. Investicijos'!$N$5:$N$19,'2. Investicijos'!$O$5:$O$19/100)/SUM('2. Investicijos'!$N$5:$N$19),0))))</f>
        <v>#VALUE!</v>
      </c>
      <c r="E189" s="62" t="e" cm="1">
        <f t="array" ref="E189">IF(OR(E185="",E185&lt;=0,'3. Finansinės prielaidos'!E32=""),"",IF('3. Finansinės prielaidos'!E32+SUM(R$5:R$19)+E182+MAX(0,-D187)*IFERROR(SUMPRODUCT('2. Investicijos'!$N$5:$N$19,'2. Investicijos'!$O$5:$O$19/100)/SUM('2. Investicijos'!$N$5:$N$19),0)=0,999999,E185/('3. Finansinės prielaidos'!E32+SUM(R$5:R$19)+E182+MAX(0,-D187)*IFERROR(SUMPRODUCT('2. Investicijos'!$N$5:$N$19,'2. Investicijos'!$O$5:$O$19/100)/SUM('2. Investicijos'!$N$5:$N$19),0))))</f>
        <v>#VALUE!</v>
      </c>
      <c r="F189" s="62" t="e" cm="1">
        <f t="array" ref="F189">IF(OR(F185="",F185&lt;=0,'3. Finansinės prielaidos'!F32=""),"",IF('3. Finansinės prielaidos'!F32+SUM(S$5:S$19)+F182+MAX(0,-E187)*IFERROR(SUMPRODUCT('2. Investicijos'!$N$5:$N$19,'2. Investicijos'!$O$5:$O$19/100)/SUM('2. Investicijos'!$N$5:$N$19),0)=0,999999,F185/('3. Finansinės prielaidos'!F32+SUM(S$5:S$19)+F182+MAX(0,-E187)*IFERROR(SUMPRODUCT('2. Investicijos'!$N$5:$N$19,'2. Investicijos'!$O$5:$O$19/100)/SUM('2. Investicijos'!$N$5:$N$19),0))))</f>
        <v>#VALUE!</v>
      </c>
      <c r="G189" s="62" t="e" cm="1">
        <f t="array" ref="G189">IF(OR(G185="",G185&lt;=0,'3. Finansinės prielaidos'!G32=""),"",IF('3. Finansinės prielaidos'!G32+SUM(T$5:T$19)+G182+MAX(0,-F187)*IFERROR(SUMPRODUCT('2. Investicijos'!$N$5:$N$19,'2. Investicijos'!$O$5:$O$19/100)/SUM('2. Investicijos'!$N$5:$N$19),0)=0,999999,G185/('3. Finansinės prielaidos'!G32+SUM(T$5:T$19)+G182+MAX(0,-F187)*IFERROR(SUMPRODUCT('2. Investicijos'!$N$5:$N$19,'2. Investicijos'!$O$5:$O$19/100)/SUM('2. Investicijos'!$N$5:$N$19),0))))</f>
        <v>#VALUE!</v>
      </c>
      <c r="H189" s="62" t="e" cm="1">
        <f t="array" ref="H189">IF(OR(H185="",H185&lt;=0,'3. Finansinės prielaidos'!H32=""),"",IF('3. Finansinės prielaidos'!H32+SUM(U$5:U$19)+H182+MAX(0,-G187)*IFERROR(SUMPRODUCT('2. Investicijos'!$N$5:$N$19,'2. Investicijos'!$O$5:$O$19/100)/SUM('2. Investicijos'!$N$5:$N$19),0)=0,999999,H185/('3. Finansinės prielaidos'!H32+SUM(U$5:U$19)+H182+MAX(0,-G187)*IFERROR(SUMPRODUCT('2. Investicijos'!$N$5:$N$19,'2. Investicijos'!$O$5:$O$19/100)/SUM('2. Investicijos'!$N$5:$N$19),0))))</f>
        <v>#VALUE!</v>
      </c>
      <c r="I189" s="62" t="e" cm="1">
        <f t="array" ref="I189">IF(OR(I185="",I185&lt;=0,'3. Finansinės prielaidos'!I32=""),"",IF('3. Finansinės prielaidos'!I32+SUM(V$5:V$19)+I182+MAX(0,-H187)*IFERROR(SUMPRODUCT('2. Investicijos'!$N$5:$N$19,'2. Investicijos'!$O$5:$O$19/100)/SUM('2. Investicijos'!$N$5:$N$19),0)=0,999999,I185/('3. Finansinės prielaidos'!I32+SUM(V$5:V$19)+I182+MAX(0,-H187)*IFERROR(SUMPRODUCT('2. Investicijos'!$N$5:$N$19,'2. Investicijos'!$O$5:$O$19/100)/SUM('2. Investicijos'!$N$5:$N$19),0))))</f>
        <v>#VALUE!</v>
      </c>
      <c r="J189" s="62" t="e" cm="1">
        <f t="array" ref="J189">IF(OR(J185="",J185&lt;=0,'3. Finansinės prielaidos'!J32=""),"",IF('3. Finansinės prielaidos'!J32+SUM(W$5:W$19)+J182+MAX(0,-I187)*IFERROR(SUMPRODUCT('2. Investicijos'!$N$5:$N$19,'2. Investicijos'!$O$5:$O$19/100)/SUM('2. Investicijos'!$N$5:$N$19),0)=0,999999,J185/('3. Finansinės prielaidos'!J32+SUM(W$5:W$19)+J182+MAX(0,-I187)*IFERROR(SUMPRODUCT('2. Investicijos'!$N$5:$N$19,'2. Investicijos'!$O$5:$O$19/100)/SUM('2. Investicijos'!$N$5:$N$19),0))))</f>
        <v>#VALUE!</v>
      </c>
      <c r="K189" s="62" t="e" cm="1">
        <f t="array" ref="K189">IF(OR(K185="",K185&lt;=0,'3. Finansinės prielaidos'!K32=""),"",IF('3. Finansinės prielaidos'!K32+SUM(X$5:X$19)+K182+MAX(0,-J187)*IFERROR(SUMPRODUCT('2. Investicijos'!$N$5:$N$19,'2. Investicijos'!$O$5:$O$19/100)/SUM('2. Investicijos'!$N$5:$N$19),0)=0,999999,K185/('3. Finansinės prielaidos'!K32+SUM(X$5:X$19)+K182+MAX(0,-J187)*IFERROR(SUMPRODUCT('2. Investicijos'!$N$5:$N$19,'2. Investicijos'!$O$5:$O$19/100)/SUM('2. Investicijos'!$N$5:$N$19),0))))</f>
        <v>#VALUE!</v>
      </c>
      <c r="L189" s="62" t="e" cm="1">
        <f t="array" ref="L189">IF(OR(L185="",L185&lt;=0,'3. Finansinės prielaidos'!L32=""),"",IF('3. Finansinės prielaidos'!L32+SUM(Y$5:Y$19)+L182+MAX(0,-K187)*IFERROR(SUMPRODUCT('2. Investicijos'!$N$5:$N$19,'2. Investicijos'!$O$5:$O$19/100)/SUM('2. Investicijos'!$N$5:$N$19),0)=0,999999,L185/('3. Finansinės prielaidos'!L32+SUM(Y$5:Y$19)+L182+MAX(0,-K187)*IFERROR(SUMPRODUCT('2. Investicijos'!$N$5:$N$19,'2. Investicijos'!$O$5:$O$19/100)/SUM('2. Investicijos'!$N$5:$N$19),0))))</f>
        <v>#VALUE!</v>
      </c>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row>
    <row r="190" spans="1:45">
      <c r="A190" s="57">
        <v>16</v>
      </c>
      <c r="B190" s="57" t="s">
        <v>58</v>
      </c>
      <c r="C190" s="62">
        <f>SUM('4. Metinis CAPEX'!F$9:F$24)</f>
        <v>0</v>
      </c>
      <c r="D190" s="62">
        <f>SUM('4. Metinis CAPEX'!G$9:G$24)</f>
        <v>0</v>
      </c>
      <c r="E190" s="62">
        <f>SUM('4. Metinis CAPEX'!H$9:H$24)</f>
        <v>0</v>
      </c>
      <c r="F190" s="62">
        <f>SUM('4. Metinis CAPEX'!I$9:I$24)</f>
        <v>0</v>
      </c>
      <c r="G190" s="62">
        <f>SUM('4. Metinis CAPEX'!J$9:J$24)</f>
        <v>0</v>
      </c>
      <c r="H190" s="62">
        <f>SUM('4. Metinis CAPEX'!K$9:K$24)</f>
        <v>0</v>
      </c>
      <c r="I190" s="62">
        <f>SUM('4. Metinis CAPEX'!L$9:L$24)</f>
        <v>0</v>
      </c>
      <c r="J190" s="62">
        <f>SUM('4. Metinis CAPEX'!M$9:M$24)</f>
        <v>0</v>
      </c>
      <c r="K190" s="62">
        <f>SUM('4. Metinis CAPEX'!N$9:N$24)</f>
        <v>0</v>
      </c>
      <c r="L190" s="62">
        <f>SUM('4. Metinis CAPEX'!O$9:O$24)</f>
        <v>0</v>
      </c>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row>
    <row r="191" spans="1:45">
      <c r="A191" s="57">
        <v>16</v>
      </c>
      <c r="B191" s="57" t="s">
        <v>59</v>
      </c>
      <c r="C191" s="62">
        <f t="shared" ref="C191:L191" si="100">SUM(F$5:F$20)</f>
        <v>0</v>
      </c>
      <c r="D191" s="62">
        <f t="shared" si="100"/>
        <v>0</v>
      </c>
      <c r="E191" s="62">
        <f t="shared" si="100"/>
        <v>0</v>
      </c>
      <c r="F191" s="62">
        <f t="shared" si="100"/>
        <v>0</v>
      </c>
      <c r="G191" s="62">
        <f t="shared" si="100"/>
        <v>0</v>
      </c>
      <c r="H191" s="62">
        <f t="shared" si="100"/>
        <v>0</v>
      </c>
      <c r="I191" s="62">
        <f t="shared" si="100"/>
        <v>0</v>
      </c>
      <c r="J191" s="62">
        <f t="shared" si="100"/>
        <v>0</v>
      </c>
      <c r="K191" s="62">
        <f t="shared" si="100"/>
        <v>0</v>
      </c>
      <c r="L191" s="62">
        <f t="shared" si="100"/>
        <v>0</v>
      </c>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row>
    <row r="192" spans="1:45">
      <c r="A192" s="57">
        <v>16</v>
      </c>
      <c r="B192" s="57" t="s">
        <v>60</v>
      </c>
      <c r="C192" s="62">
        <f t="shared" ref="C192:L192" si="101">SUM(Z$5:Z$20)</f>
        <v>0</v>
      </c>
      <c r="D192" s="62">
        <f t="shared" si="101"/>
        <v>0</v>
      </c>
      <c r="E192" s="62">
        <f t="shared" si="101"/>
        <v>0</v>
      </c>
      <c r="F192" s="62">
        <f t="shared" si="101"/>
        <v>0</v>
      </c>
      <c r="G192" s="62">
        <f t="shared" si="101"/>
        <v>0</v>
      </c>
      <c r="H192" s="62">
        <f t="shared" si="101"/>
        <v>0</v>
      </c>
      <c r="I192" s="62">
        <f t="shared" si="101"/>
        <v>0</v>
      </c>
      <c r="J192" s="62">
        <f t="shared" si="101"/>
        <v>0</v>
      </c>
      <c r="K192" s="62">
        <f t="shared" si="101"/>
        <v>0</v>
      </c>
      <c r="L192" s="62">
        <f t="shared" si="101"/>
        <v>0</v>
      </c>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row>
    <row r="193" spans="1:45">
      <c r="A193" s="57">
        <v>16</v>
      </c>
      <c r="B193" s="57" t="s">
        <v>61</v>
      </c>
      <c r="C193" s="62">
        <f t="shared" ref="C193:L193" si="102">SUM(AJ$5:AJ$20)</f>
        <v>0</v>
      </c>
      <c r="D193" s="62">
        <f t="shared" si="102"/>
        <v>0</v>
      </c>
      <c r="E193" s="62">
        <f t="shared" si="102"/>
        <v>0</v>
      </c>
      <c r="F193" s="62">
        <f t="shared" si="102"/>
        <v>0</v>
      </c>
      <c r="G193" s="62">
        <f t="shared" si="102"/>
        <v>0</v>
      </c>
      <c r="H193" s="62">
        <f t="shared" si="102"/>
        <v>0</v>
      </c>
      <c r="I193" s="62">
        <f t="shared" si="102"/>
        <v>0</v>
      </c>
      <c r="J193" s="62">
        <f t="shared" si="102"/>
        <v>0</v>
      </c>
      <c r="K193" s="62">
        <f t="shared" si="102"/>
        <v>0</v>
      </c>
      <c r="L193" s="62">
        <f t="shared" si="102"/>
        <v>0</v>
      </c>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row>
    <row r="194" spans="1:45">
      <c r="A194" s="57">
        <v>16</v>
      </c>
      <c r="B194" s="57" t="s">
        <v>155</v>
      </c>
      <c r="C194" s="62" t="e" cm="1">
        <f t="array" ref="C194">SUMPRODUCT(--(2026&gt;'2. Investicijos'!$F$5:$F$20),--(2026&lt;='2. Investicijos'!$F$5:$F$20+'2. Investicijos'!$G$5:$G$20),IFERROR(('2. Investicijos'!$M$5:$M$20+'2. Investicijos'!$N$5:$N$20)/'2. Investicijos'!$G$5:$G$20,0))+SUMPRODUCT(--(2026&gt;'2. Investicijos'!$F$5:$F$20),--(2026&lt;='2. Investicijos'!$F$5:$F$20+'2. Investicijos'!$G$5:$G$20),IFERROR(('2. Investicijos'!$M$5:$M$20+'2. Investicijos'!$N$5:$N$20)*(1-((2026-'2. Investicijos'!$F$5:$F$20)-1)/'2. Investicijos'!$G$5:$G$20),0)*'5. 0% scenarijus'!$C$5)</f>
        <v>#VALUE!</v>
      </c>
      <c r="D194" s="62" t="e" cm="1">
        <f t="array" ref="D194">SUMPRODUCT(--(2027&gt;'2. Investicijos'!$F$5:$F$20),--(2027&lt;='2. Investicijos'!$F$5:$F$20+'2. Investicijos'!$G$5:$G$20),IFERROR(('2. Investicijos'!$M$5:$M$20+'2. Investicijos'!$N$5:$N$20)/'2. Investicijos'!$G$5:$G$20,0))+SUMPRODUCT(--(2027&gt;'2. Investicijos'!$F$5:$F$20),--(2027&lt;='2. Investicijos'!$F$5:$F$20+'2. Investicijos'!$G$5:$G$20),IFERROR(('2. Investicijos'!$M$5:$M$20+'2. Investicijos'!$N$5:$N$20)*(1-((2027-'2. Investicijos'!$F$5:$F$20)-1)/'2. Investicijos'!$G$5:$G$20),0)*'5. 0% scenarijus'!$C$5)</f>
        <v>#VALUE!</v>
      </c>
      <c r="E194" s="62" t="e" cm="1">
        <f t="array" ref="E194">SUMPRODUCT(--(2028&gt;'2. Investicijos'!$F$5:$F$20),--(2028&lt;='2. Investicijos'!$F$5:$F$20+'2. Investicijos'!$G$5:$G$20),IFERROR(('2. Investicijos'!$M$5:$M$20+'2. Investicijos'!$N$5:$N$20)/'2. Investicijos'!$G$5:$G$20,0))+SUMPRODUCT(--(2028&gt;'2. Investicijos'!$F$5:$F$20),--(2028&lt;='2. Investicijos'!$F$5:$F$20+'2. Investicijos'!$G$5:$G$20),IFERROR(('2. Investicijos'!$M$5:$M$20+'2. Investicijos'!$N$5:$N$20)*(1-((2028-'2. Investicijos'!$F$5:$F$20)-1)/'2. Investicijos'!$G$5:$G$20),0)*'5. 0% scenarijus'!$C$5)</f>
        <v>#VALUE!</v>
      </c>
      <c r="F194" s="62" t="e" cm="1">
        <f t="array" ref="F194">SUMPRODUCT(--(2029&gt;'2. Investicijos'!$F$5:$F$20),--(2029&lt;='2. Investicijos'!$F$5:$F$20+'2. Investicijos'!$G$5:$G$20),IFERROR(('2. Investicijos'!$M$5:$M$20+'2. Investicijos'!$N$5:$N$20)/'2. Investicijos'!$G$5:$G$20,0))+SUMPRODUCT(--(2029&gt;'2. Investicijos'!$F$5:$F$20),--(2029&lt;='2. Investicijos'!$F$5:$F$20+'2. Investicijos'!$G$5:$G$20),IFERROR(('2. Investicijos'!$M$5:$M$20+'2. Investicijos'!$N$5:$N$20)*(1-((2029-'2. Investicijos'!$F$5:$F$20)-1)/'2. Investicijos'!$G$5:$G$20),0)*'5. 0% scenarijus'!$C$5)</f>
        <v>#VALUE!</v>
      </c>
      <c r="G194" s="62" t="e" cm="1">
        <f t="array" ref="G194">SUMPRODUCT(--(2030&gt;'2. Investicijos'!$F$5:$F$20),--(2030&lt;='2. Investicijos'!$F$5:$F$20+'2. Investicijos'!$G$5:$G$20),IFERROR(('2. Investicijos'!$M$5:$M$20+'2. Investicijos'!$N$5:$N$20)/'2. Investicijos'!$G$5:$G$20,0))+SUMPRODUCT(--(2030&gt;'2. Investicijos'!$F$5:$F$20),--(2030&lt;='2. Investicijos'!$F$5:$F$20+'2. Investicijos'!$G$5:$G$20),IFERROR(('2. Investicijos'!$M$5:$M$20+'2. Investicijos'!$N$5:$N$20)*(1-((2030-'2. Investicijos'!$F$5:$F$20)-1)/'2. Investicijos'!$G$5:$G$20),0)*'5. 0% scenarijus'!$C$5)</f>
        <v>#VALUE!</v>
      </c>
      <c r="H194" s="62" t="e" cm="1">
        <f t="array" ref="H194">SUMPRODUCT(--(2031&gt;'2. Investicijos'!$F$5:$F$20),--(2031&lt;='2. Investicijos'!$F$5:$F$20+'2. Investicijos'!$G$5:$G$20),IFERROR(('2. Investicijos'!$M$5:$M$20+'2. Investicijos'!$N$5:$N$20)/'2. Investicijos'!$G$5:$G$20,0))+SUMPRODUCT(--(2031&gt;'2. Investicijos'!$F$5:$F$20),--(2031&lt;='2. Investicijos'!$F$5:$F$20+'2. Investicijos'!$G$5:$G$20),IFERROR(('2. Investicijos'!$M$5:$M$20+'2. Investicijos'!$N$5:$N$20)*(1-((2031-'2. Investicijos'!$F$5:$F$20)-1)/'2. Investicijos'!$G$5:$G$20),0)*'5. 0% scenarijus'!$C$5)</f>
        <v>#VALUE!</v>
      </c>
      <c r="I194" s="62" t="e" cm="1">
        <f t="array" ref="I194">SUMPRODUCT(--(2032&gt;'2. Investicijos'!$F$5:$F$20),--(2032&lt;='2. Investicijos'!$F$5:$F$20+'2. Investicijos'!$G$5:$G$20),IFERROR(('2. Investicijos'!$M$5:$M$20+'2. Investicijos'!$N$5:$N$20)/'2. Investicijos'!$G$5:$G$20,0))+SUMPRODUCT(--(2032&gt;'2. Investicijos'!$F$5:$F$20),--(2032&lt;='2. Investicijos'!$F$5:$F$20+'2. Investicijos'!$G$5:$G$20),IFERROR(('2. Investicijos'!$M$5:$M$20+'2. Investicijos'!$N$5:$N$20)*(1-((2032-'2. Investicijos'!$F$5:$F$20)-1)/'2. Investicijos'!$G$5:$G$20),0)*'5. 0% scenarijus'!$C$5)</f>
        <v>#VALUE!</v>
      </c>
      <c r="J194" s="62" t="e" cm="1">
        <f t="array" ref="J194">SUMPRODUCT(--(2033&gt;'2. Investicijos'!$F$5:$F$20),--(2033&lt;='2. Investicijos'!$F$5:$F$20+'2. Investicijos'!$G$5:$G$20),IFERROR(('2. Investicijos'!$M$5:$M$20+'2. Investicijos'!$N$5:$N$20)/'2. Investicijos'!$G$5:$G$20,0))+SUMPRODUCT(--(2033&gt;'2. Investicijos'!$F$5:$F$20),--(2033&lt;='2. Investicijos'!$F$5:$F$20+'2. Investicijos'!$G$5:$G$20),IFERROR(('2. Investicijos'!$M$5:$M$20+'2. Investicijos'!$N$5:$N$20)*(1-((2033-'2. Investicijos'!$F$5:$F$20)-1)/'2. Investicijos'!$G$5:$G$20),0)*'5. 0% scenarijus'!$C$5)</f>
        <v>#VALUE!</v>
      </c>
      <c r="K194" s="62" t="e" cm="1">
        <f t="array" ref="K194">SUMPRODUCT(--(2034&gt;'2. Investicijos'!$F$5:$F$20),--(2034&lt;='2. Investicijos'!$F$5:$F$20+'2. Investicijos'!$G$5:$G$20),IFERROR(('2. Investicijos'!$M$5:$M$20+'2. Investicijos'!$N$5:$N$20)/'2. Investicijos'!$G$5:$G$20,0))+SUMPRODUCT(--(2034&gt;'2. Investicijos'!$F$5:$F$20),--(2034&lt;='2. Investicijos'!$F$5:$F$20+'2. Investicijos'!$G$5:$G$20),IFERROR(('2. Investicijos'!$M$5:$M$20+'2. Investicijos'!$N$5:$N$20)*(1-((2034-'2. Investicijos'!$F$5:$F$20)-1)/'2. Investicijos'!$G$5:$G$20),0)*'5. 0% scenarijus'!$C$5)</f>
        <v>#VALUE!</v>
      </c>
      <c r="L194" s="62" t="e" cm="1">
        <f t="array" ref="L194">SUMPRODUCT(--(2035&gt;'2. Investicijos'!$F$5:$F$20),--(2035&lt;='2. Investicijos'!$F$5:$F$20+'2. Investicijos'!$G$5:$G$20),IFERROR(('2. Investicijos'!$M$5:$M$20+'2. Investicijos'!$N$5:$N$20)/'2. Investicijos'!$G$5:$G$20,0))+SUMPRODUCT(--(2035&gt;'2. Investicijos'!$F$5:$F$20),--(2035&lt;='2. Investicijos'!$F$5:$F$20+'2. Investicijos'!$G$5:$G$20),IFERROR(('2. Investicijos'!$M$5:$M$20+'2. Investicijos'!$N$5:$N$20)*(1-((2035-'2. Investicijos'!$F$5:$F$20)-1)/'2. Investicijos'!$G$5:$G$20),0)*'5. 0% scenarijus'!$C$5)</f>
        <v>#VALUE!</v>
      </c>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row>
    <row r="195" spans="1:45">
      <c r="A195" s="57">
        <v>16</v>
      </c>
      <c r="B195" s="57" t="s">
        <v>62</v>
      </c>
      <c r="C195" s="62" t="e">
        <f>'3. Finansinės prielaidos'!C29+C194</f>
        <v>#VALUE!</v>
      </c>
      <c r="D195" s="62" t="e">
        <f>'3. Finansinės prielaidos'!D29+D194</f>
        <v>#VALUE!</v>
      </c>
      <c r="E195" s="62" t="e">
        <f>'3. Finansinės prielaidos'!E29+E194</f>
        <v>#VALUE!</v>
      </c>
      <c r="F195" s="62" t="e">
        <f>'3. Finansinės prielaidos'!F29+F194</f>
        <v>#VALUE!</v>
      </c>
      <c r="G195" s="62" t="e">
        <f>'3. Finansinės prielaidos'!G29+G194</f>
        <v>#VALUE!</v>
      </c>
      <c r="H195" s="62" t="e">
        <f>'3. Finansinės prielaidos'!H29+H194</f>
        <v>#VALUE!</v>
      </c>
      <c r="I195" s="62" t="e">
        <f>'3. Finansinės prielaidos'!I29+I194</f>
        <v>#VALUE!</v>
      </c>
      <c r="J195" s="62" t="e">
        <f>'3. Finansinės prielaidos'!J29+J194</f>
        <v>#VALUE!</v>
      </c>
      <c r="K195" s="62" t="e">
        <f>'3. Finansinės prielaidos'!K29+K194</f>
        <v>#VALUE!</v>
      </c>
      <c r="L195" s="62" t="e">
        <f>'3. Finansinės prielaidos'!L29+L194</f>
        <v>#VALUE!</v>
      </c>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row>
    <row r="196" spans="1:45">
      <c r="A196" s="57">
        <v>16</v>
      </c>
      <c r="B196" s="57" t="s">
        <v>159</v>
      </c>
      <c r="C196" s="62">
        <f>'3. Finansinės prielaidos'!C30+C193</f>
        <v>0</v>
      </c>
      <c r="D196" s="62">
        <f>'3. Finansinės prielaidos'!D30+D193</f>
        <v>0</v>
      </c>
      <c r="E196" s="62">
        <f>'3. Finansinės prielaidos'!E30+E193</f>
        <v>0</v>
      </c>
      <c r="F196" s="62">
        <f>'3. Finansinės prielaidos'!F30+F193</f>
        <v>0</v>
      </c>
      <c r="G196" s="62">
        <f>'3. Finansinės prielaidos'!G30+G193</f>
        <v>0</v>
      </c>
      <c r="H196" s="62">
        <f>'3. Finansinės prielaidos'!H30+H193</f>
        <v>0</v>
      </c>
      <c r="I196" s="62">
        <f>'3. Finansinės prielaidos'!I30+I193</f>
        <v>0</v>
      </c>
      <c r="J196" s="62">
        <f>'3. Finansinės prielaidos'!J30+J193</f>
        <v>0</v>
      </c>
      <c r="K196" s="62">
        <f>'3. Finansinės prielaidos'!K30+K193</f>
        <v>0</v>
      </c>
      <c r="L196" s="62">
        <f>'3. Finansinės prielaidos'!L30+L193</f>
        <v>0</v>
      </c>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row>
    <row r="197" spans="1:45">
      <c r="A197" s="57">
        <v>16</v>
      </c>
      <c r="B197" s="57" t="s">
        <v>160</v>
      </c>
      <c r="C197" s="62" t="e" cm="1">
        <f t="array" ref="C197">'3. Finansinės prielaidos'!C31+C194+C191+SUMPRODUCT('4. Metinis CAPEX'!F$9:F$24,IFERROR(('2. Investicijos'!$I$5:$I$20+'2. Investicijos'!$J$5:$J$20+'2. Investicijos'!$K$5:$K$20+'2. Investicijos'!$L$5:$L$20)/'2. Investicijos'!$H$5:$H$20,0))-C190-SUM(P$5:P$20)-C192-0</f>
        <v>#VALUE!</v>
      </c>
      <c r="D197" s="62" t="e" cm="1">
        <f t="array" ref="D197">C197+('3. Finansinės prielaidos'!D31-'3. Finansinės prielaidos'!C31)+D194+D191+SUMPRODUCT('4. Metinis CAPEX'!G$9:G$24,IFERROR(('2. Investicijos'!$I$5:$I$20+'2. Investicijos'!$J$5:$J$20+'2. Investicijos'!$K$5:$K$20+'2. Investicijos'!$L$5:$L$20)/'2. Investicijos'!$H$5:$H$20,0))-D190-SUM(Q$5:Q$20)-D192-MAX(0,-C197)*IFERROR(SUMPRODUCT('2. Investicijos'!$N$5:$N$20,'2. Investicijos'!$O$5:$O$20/100)/SUM('2. Investicijos'!$N$5:$N$20),0)</f>
        <v>#VALUE!</v>
      </c>
      <c r="E197" s="62" t="e" cm="1">
        <f t="array" ref="E197">D197+('3. Finansinės prielaidos'!E31-'3. Finansinės prielaidos'!D31)+E194+E191+SUMPRODUCT('4. Metinis CAPEX'!H$9:H$24,IFERROR(('2. Investicijos'!$I$5:$I$20+'2. Investicijos'!$J$5:$J$20+'2. Investicijos'!$K$5:$K$20+'2. Investicijos'!$L$5:$L$20)/'2. Investicijos'!$H$5:$H$20,0))-E190-SUM(R$5:R$20)-E192-MAX(0,-D197)*IFERROR(SUMPRODUCT('2. Investicijos'!$N$5:$N$20,'2. Investicijos'!$O$5:$O$20/100)/SUM('2. Investicijos'!$N$5:$N$20),0)</f>
        <v>#VALUE!</v>
      </c>
      <c r="F197" s="62" t="e" cm="1">
        <f t="array" ref="F197">E197+('3. Finansinės prielaidos'!F31-'3. Finansinės prielaidos'!E31)+F194+F191+SUMPRODUCT('4. Metinis CAPEX'!I$9:I$24,IFERROR(('2. Investicijos'!$I$5:$I$20+'2. Investicijos'!$J$5:$J$20+'2. Investicijos'!$K$5:$K$20+'2. Investicijos'!$L$5:$L$20)/'2. Investicijos'!$H$5:$H$20,0))-F190-SUM(S$5:S$20)-F192-MAX(0,-E197)*IFERROR(SUMPRODUCT('2. Investicijos'!$N$5:$N$20,'2. Investicijos'!$O$5:$O$20/100)/SUM('2. Investicijos'!$N$5:$N$20),0)</f>
        <v>#VALUE!</v>
      </c>
      <c r="G197" s="62" t="e" cm="1">
        <f t="array" ref="G197">F197+('3. Finansinės prielaidos'!G31-'3. Finansinės prielaidos'!F31)+G194+G191+SUMPRODUCT('4. Metinis CAPEX'!J$9:J$24,IFERROR(('2. Investicijos'!$I$5:$I$20+'2. Investicijos'!$J$5:$J$20+'2. Investicijos'!$K$5:$K$20+'2. Investicijos'!$L$5:$L$20)/'2. Investicijos'!$H$5:$H$20,0))-G190-SUM(T$5:T$20)-G192-MAX(0,-F197)*IFERROR(SUMPRODUCT('2. Investicijos'!$N$5:$N$20,'2. Investicijos'!$O$5:$O$20/100)/SUM('2. Investicijos'!$N$5:$N$20),0)</f>
        <v>#VALUE!</v>
      </c>
      <c r="H197" s="62" t="e" cm="1">
        <f t="array" ref="H197">G197+('3. Finansinės prielaidos'!H31-'3. Finansinės prielaidos'!G31)+H194+H191+SUMPRODUCT('4. Metinis CAPEX'!K$9:K$24,IFERROR(('2. Investicijos'!$I$5:$I$20+'2. Investicijos'!$J$5:$J$20+'2. Investicijos'!$K$5:$K$20+'2. Investicijos'!$L$5:$L$20)/'2. Investicijos'!$H$5:$H$20,0))-H190-SUM(U$5:U$20)-H192-MAX(0,-G197)*IFERROR(SUMPRODUCT('2. Investicijos'!$N$5:$N$20,'2. Investicijos'!$O$5:$O$20/100)/SUM('2. Investicijos'!$N$5:$N$20),0)</f>
        <v>#VALUE!</v>
      </c>
      <c r="I197" s="62" t="e" cm="1">
        <f t="array" ref="I197">H197+('3. Finansinės prielaidos'!I31-'3. Finansinės prielaidos'!H31)+I194+I191+SUMPRODUCT('4. Metinis CAPEX'!L$9:L$24,IFERROR(('2. Investicijos'!$I$5:$I$20+'2. Investicijos'!$J$5:$J$20+'2. Investicijos'!$K$5:$K$20+'2. Investicijos'!$L$5:$L$20)/'2. Investicijos'!$H$5:$H$20,0))-I190-SUM(V$5:V$20)-I192-MAX(0,-H197)*IFERROR(SUMPRODUCT('2. Investicijos'!$N$5:$N$20,'2. Investicijos'!$O$5:$O$20/100)/SUM('2. Investicijos'!$N$5:$N$20),0)</f>
        <v>#VALUE!</v>
      </c>
      <c r="J197" s="62" t="e" cm="1">
        <f t="array" ref="J197">I197+('3. Finansinės prielaidos'!J31-'3. Finansinės prielaidos'!I31)+J194+J191+SUMPRODUCT('4. Metinis CAPEX'!M$9:M$24,IFERROR(('2. Investicijos'!$I$5:$I$20+'2. Investicijos'!$J$5:$J$20+'2. Investicijos'!$K$5:$K$20+'2. Investicijos'!$L$5:$L$20)/'2. Investicijos'!$H$5:$H$20,0))-J190-SUM(W$5:W$20)-J192-MAX(0,-I197)*IFERROR(SUMPRODUCT('2. Investicijos'!$N$5:$N$20,'2. Investicijos'!$O$5:$O$20/100)/SUM('2. Investicijos'!$N$5:$N$20),0)</f>
        <v>#VALUE!</v>
      </c>
      <c r="K197" s="62" t="e" cm="1">
        <f t="array" ref="K197">J197+('3. Finansinės prielaidos'!K31-'3. Finansinės prielaidos'!J31)+K194+K191+SUMPRODUCT('4. Metinis CAPEX'!N$9:N$24,IFERROR(('2. Investicijos'!$I$5:$I$20+'2. Investicijos'!$J$5:$J$20+'2. Investicijos'!$K$5:$K$20+'2. Investicijos'!$L$5:$L$20)/'2. Investicijos'!$H$5:$H$20,0))-K190-SUM(X$5:X$20)-K192-MAX(0,-J197)*IFERROR(SUMPRODUCT('2. Investicijos'!$N$5:$N$20,'2. Investicijos'!$O$5:$O$20/100)/SUM('2. Investicijos'!$N$5:$N$20),0)</f>
        <v>#VALUE!</v>
      </c>
      <c r="L197" s="62" t="e" cm="1">
        <f t="array" ref="L197">K197+('3. Finansinės prielaidos'!L31-'3. Finansinės prielaidos'!K31)+L194+L191+SUMPRODUCT('4. Metinis CAPEX'!O$9:O$24,IFERROR(('2. Investicijos'!$I$5:$I$20+'2. Investicijos'!$J$5:$J$20+'2. Investicijos'!$K$5:$K$20+'2. Investicijos'!$L$5:$L$20)/'2. Investicijos'!$H$5:$H$20,0))-L190-SUM(Y$5:Y$20)-L192-MAX(0,-K197)*IFERROR(SUMPRODUCT('2. Investicijos'!$N$5:$N$20,'2. Investicijos'!$O$5:$O$20/100)/SUM('2. Investicijos'!$N$5:$N$20),0)</f>
        <v>#VALUE!</v>
      </c>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row>
    <row r="198" spans="1:45">
      <c r="A198" s="57">
        <v>16</v>
      </c>
      <c r="B198" s="57" t="s">
        <v>23</v>
      </c>
      <c r="C198" s="62" t="e">
        <f t="shared" ref="C198:L198" si="103">IF(OR(C195="",C196="",C197="",C195&lt;=0),"",(C196-C197)/C195)</f>
        <v>#VALUE!</v>
      </c>
      <c r="D198" s="62" t="e">
        <f t="shared" si="103"/>
        <v>#VALUE!</v>
      </c>
      <c r="E198" s="62" t="e">
        <f t="shared" si="103"/>
        <v>#VALUE!</v>
      </c>
      <c r="F198" s="62" t="e">
        <f t="shared" si="103"/>
        <v>#VALUE!</v>
      </c>
      <c r="G198" s="62" t="e">
        <f t="shared" si="103"/>
        <v>#VALUE!</v>
      </c>
      <c r="H198" s="62" t="e">
        <f t="shared" si="103"/>
        <v>#VALUE!</v>
      </c>
      <c r="I198" s="62" t="e">
        <f t="shared" si="103"/>
        <v>#VALUE!</v>
      </c>
      <c r="J198" s="62" t="e">
        <f t="shared" si="103"/>
        <v>#VALUE!</v>
      </c>
      <c r="K198" s="62" t="e">
        <f t="shared" si="103"/>
        <v>#VALUE!</v>
      </c>
      <c r="L198" s="62" t="e">
        <f t="shared" si="103"/>
        <v>#VALUE!</v>
      </c>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row>
    <row r="199" spans="1:45">
      <c r="A199" s="57">
        <v>16</v>
      </c>
      <c r="B199" s="57" t="s">
        <v>24</v>
      </c>
      <c r="C199" s="62" t="e">
        <f>IF(OR(C195="",C195&lt;=0,'3. Finansinės prielaidos'!C32=""),"",IF('3. Finansinės prielaidos'!C32+SUM(P$5:P$20)+C192+0=0,999999,C195/('3. Finansinės prielaidos'!C32+SUM(P$5:P$20)+C192+0)))</f>
        <v>#VALUE!</v>
      </c>
      <c r="D199" s="62" t="e" cm="1">
        <f t="array" ref="D199">IF(OR(D195="",D195&lt;=0,'3. Finansinės prielaidos'!D32=""),"",IF('3. Finansinės prielaidos'!D32+SUM(Q$5:Q$20)+D192+MAX(0,-C197)*IFERROR(SUMPRODUCT('2. Investicijos'!$N$5:$N$20,'2. Investicijos'!$O$5:$O$20/100)/SUM('2. Investicijos'!$N$5:$N$20),0)=0,999999,D195/('3. Finansinės prielaidos'!D32+SUM(Q$5:Q$20)+D192+MAX(0,-C197)*IFERROR(SUMPRODUCT('2. Investicijos'!$N$5:$N$20,'2. Investicijos'!$O$5:$O$20/100)/SUM('2. Investicijos'!$N$5:$N$20),0))))</f>
        <v>#VALUE!</v>
      </c>
      <c r="E199" s="62" t="e" cm="1">
        <f t="array" ref="E199">IF(OR(E195="",E195&lt;=0,'3. Finansinės prielaidos'!E32=""),"",IF('3. Finansinės prielaidos'!E32+SUM(R$5:R$20)+E192+MAX(0,-D197)*IFERROR(SUMPRODUCT('2. Investicijos'!$N$5:$N$20,'2. Investicijos'!$O$5:$O$20/100)/SUM('2. Investicijos'!$N$5:$N$20),0)=0,999999,E195/('3. Finansinės prielaidos'!E32+SUM(R$5:R$20)+E192+MAX(0,-D197)*IFERROR(SUMPRODUCT('2. Investicijos'!$N$5:$N$20,'2. Investicijos'!$O$5:$O$20/100)/SUM('2. Investicijos'!$N$5:$N$20),0))))</f>
        <v>#VALUE!</v>
      </c>
      <c r="F199" s="62" t="e" cm="1">
        <f t="array" ref="F199">IF(OR(F195="",F195&lt;=0,'3. Finansinės prielaidos'!F32=""),"",IF('3. Finansinės prielaidos'!F32+SUM(S$5:S$20)+F192+MAX(0,-E197)*IFERROR(SUMPRODUCT('2. Investicijos'!$N$5:$N$20,'2. Investicijos'!$O$5:$O$20/100)/SUM('2. Investicijos'!$N$5:$N$20),0)=0,999999,F195/('3. Finansinės prielaidos'!F32+SUM(S$5:S$20)+F192+MAX(0,-E197)*IFERROR(SUMPRODUCT('2. Investicijos'!$N$5:$N$20,'2. Investicijos'!$O$5:$O$20/100)/SUM('2. Investicijos'!$N$5:$N$20),0))))</f>
        <v>#VALUE!</v>
      </c>
      <c r="G199" s="62" t="e" cm="1">
        <f t="array" ref="G199">IF(OR(G195="",G195&lt;=0,'3. Finansinės prielaidos'!G32=""),"",IF('3. Finansinės prielaidos'!G32+SUM(T$5:T$20)+G192+MAX(0,-F197)*IFERROR(SUMPRODUCT('2. Investicijos'!$N$5:$N$20,'2. Investicijos'!$O$5:$O$20/100)/SUM('2. Investicijos'!$N$5:$N$20),0)=0,999999,G195/('3. Finansinės prielaidos'!G32+SUM(T$5:T$20)+G192+MAX(0,-F197)*IFERROR(SUMPRODUCT('2. Investicijos'!$N$5:$N$20,'2. Investicijos'!$O$5:$O$20/100)/SUM('2. Investicijos'!$N$5:$N$20),0))))</f>
        <v>#VALUE!</v>
      </c>
      <c r="H199" s="62" t="e" cm="1">
        <f t="array" ref="H199">IF(OR(H195="",H195&lt;=0,'3. Finansinės prielaidos'!H32=""),"",IF('3. Finansinės prielaidos'!H32+SUM(U$5:U$20)+H192+MAX(0,-G197)*IFERROR(SUMPRODUCT('2. Investicijos'!$N$5:$N$20,'2. Investicijos'!$O$5:$O$20/100)/SUM('2. Investicijos'!$N$5:$N$20),0)=0,999999,H195/('3. Finansinės prielaidos'!H32+SUM(U$5:U$20)+H192+MAX(0,-G197)*IFERROR(SUMPRODUCT('2. Investicijos'!$N$5:$N$20,'2. Investicijos'!$O$5:$O$20/100)/SUM('2. Investicijos'!$N$5:$N$20),0))))</f>
        <v>#VALUE!</v>
      </c>
      <c r="I199" s="62" t="e" cm="1">
        <f t="array" ref="I199">IF(OR(I195="",I195&lt;=0,'3. Finansinės prielaidos'!I32=""),"",IF('3. Finansinės prielaidos'!I32+SUM(V$5:V$20)+I192+MAX(0,-H197)*IFERROR(SUMPRODUCT('2. Investicijos'!$N$5:$N$20,'2. Investicijos'!$O$5:$O$20/100)/SUM('2. Investicijos'!$N$5:$N$20),0)=0,999999,I195/('3. Finansinės prielaidos'!I32+SUM(V$5:V$20)+I192+MAX(0,-H197)*IFERROR(SUMPRODUCT('2. Investicijos'!$N$5:$N$20,'2. Investicijos'!$O$5:$O$20/100)/SUM('2. Investicijos'!$N$5:$N$20),0))))</f>
        <v>#VALUE!</v>
      </c>
      <c r="J199" s="62" t="e" cm="1">
        <f t="array" ref="J199">IF(OR(J195="",J195&lt;=0,'3. Finansinės prielaidos'!J32=""),"",IF('3. Finansinės prielaidos'!J32+SUM(W$5:W$20)+J192+MAX(0,-I197)*IFERROR(SUMPRODUCT('2. Investicijos'!$N$5:$N$20,'2. Investicijos'!$O$5:$O$20/100)/SUM('2. Investicijos'!$N$5:$N$20),0)=0,999999,J195/('3. Finansinės prielaidos'!J32+SUM(W$5:W$20)+J192+MAX(0,-I197)*IFERROR(SUMPRODUCT('2. Investicijos'!$N$5:$N$20,'2. Investicijos'!$O$5:$O$20/100)/SUM('2. Investicijos'!$N$5:$N$20),0))))</f>
        <v>#VALUE!</v>
      </c>
      <c r="K199" s="62" t="e" cm="1">
        <f t="array" ref="K199">IF(OR(K195="",K195&lt;=0,'3. Finansinės prielaidos'!K32=""),"",IF('3. Finansinės prielaidos'!K32+SUM(X$5:X$20)+K192+MAX(0,-J197)*IFERROR(SUMPRODUCT('2. Investicijos'!$N$5:$N$20,'2. Investicijos'!$O$5:$O$20/100)/SUM('2. Investicijos'!$N$5:$N$20),0)=0,999999,K195/('3. Finansinės prielaidos'!K32+SUM(X$5:X$20)+K192+MAX(0,-J197)*IFERROR(SUMPRODUCT('2. Investicijos'!$N$5:$N$20,'2. Investicijos'!$O$5:$O$20/100)/SUM('2. Investicijos'!$N$5:$N$20),0))))</f>
        <v>#VALUE!</v>
      </c>
      <c r="L199" s="62" t="e" cm="1">
        <f t="array" ref="L199">IF(OR(L195="",L195&lt;=0,'3. Finansinės prielaidos'!L32=""),"",IF('3. Finansinės prielaidos'!L32+SUM(Y$5:Y$20)+L192+MAX(0,-K197)*IFERROR(SUMPRODUCT('2. Investicijos'!$N$5:$N$20,'2. Investicijos'!$O$5:$O$20/100)/SUM('2. Investicijos'!$N$5:$N$20),0)=0,999999,L195/('3. Finansinės prielaidos'!L32+SUM(Y$5:Y$20)+L192+MAX(0,-K197)*IFERROR(SUMPRODUCT('2. Investicijos'!$N$5:$N$20,'2. Investicijos'!$O$5:$O$20/100)/SUM('2. Investicijos'!$N$5:$N$20),0))))</f>
        <v>#VALUE!</v>
      </c>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row>
    <row r="200" spans="1:45">
      <c r="A200" s="57">
        <v>17</v>
      </c>
      <c r="B200" s="57" t="s">
        <v>58</v>
      </c>
      <c r="C200" s="62">
        <f>SUM('4. Metinis CAPEX'!F$9:F$25)</f>
        <v>0</v>
      </c>
      <c r="D200" s="62">
        <f>SUM('4. Metinis CAPEX'!G$9:G$25)</f>
        <v>0</v>
      </c>
      <c r="E200" s="62">
        <f>SUM('4. Metinis CAPEX'!H$9:H$25)</f>
        <v>0</v>
      </c>
      <c r="F200" s="62">
        <f>SUM('4. Metinis CAPEX'!I$9:I$25)</f>
        <v>0</v>
      </c>
      <c r="G200" s="62">
        <f>SUM('4. Metinis CAPEX'!J$9:J$25)</f>
        <v>0</v>
      </c>
      <c r="H200" s="62">
        <f>SUM('4. Metinis CAPEX'!K$9:K$25)</f>
        <v>0</v>
      </c>
      <c r="I200" s="62">
        <f>SUM('4. Metinis CAPEX'!L$9:L$25)</f>
        <v>0</v>
      </c>
      <c r="J200" s="62">
        <f>SUM('4. Metinis CAPEX'!M$9:M$25)</f>
        <v>0</v>
      </c>
      <c r="K200" s="62">
        <f>SUM('4. Metinis CAPEX'!N$9:N$25)</f>
        <v>0</v>
      </c>
      <c r="L200" s="62">
        <f>SUM('4. Metinis CAPEX'!O$9:O$25)</f>
        <v>0</v>
      </c>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row>
    <row r="201" spans="1:45">
      <c r="A201" s="57">
        <v>17</v>
      </c>
      <c r="B201" s="57" t="s">
        <v>59</v>
      </c>
      <c r="C201" s="62">
        <f t="shared" ref="C201:L201" si="104">SUM(F$5:F$21)</f>
        <v>0</v>
      </c>
      <c r="D201" s="62">
        <f t="shared" si="104"/>
        <v>0</v>
      </c>
      <c r="E201" s="62">
        <f t="shared" si="104"/>
        <v>0</v>
      </c>
      <c r="F201" s="62">
        <f t="shared" si="104"/>
        <v>0</v>
      </c>
      <c r="G201" s="62">
        <f t="shared" si="104"/>
        <v>0</v>
      </c>
      <c r="H201" s="62">
        <f t="shared" si="104"/>
        <v>0</v>
      </c>
      <c r="I201" s="62">
        <f t="shared" si="104"/>
        <v>0</v>
      </c>
      <c r="J201" s="62">
        <f t="shared" si="104"/>
        <v>0</v>
      </c>
      <c r="K201" s="62">
        <f t="shared" si="104"/>
        <v>0</v>
      </c>
      <c r="L201" s="62">
        <f t="shared" si="104"/>
        <v>0</v>
      </c>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row>
    <row r="202" spans="1:45">
      <c r="A202" s="57">
        <v>17</v>
      </c>
      <c r="B202" s="57" t="s">
        <v>60</v>
      </c>
      <c r="C202" s="62">
        <f t="shared" ref="C202:L202" si="105">SUM(Z$5:Z$21)</f>
        <v>0</v>
      </c>
      <c r="D202" s="62">
        <f t="shared" si="105"/>
        <v>0</v>
      </c>
      <c r="E202" s="62">
        <f t="shared" si="105"/>
        <v>0</v>
      </c>
      <c r="F202" s="62">
        <f t="shared" si="105"/>
        <v>0</v>
      </c>
      <c r="G202" s="62">
        <f t="shared" si="105"/>
        <v>0</v>
      </c>
      <c r="H202" s="62">
        <f t="shared" si="105"/>
        <v>0</v>
      </c>
      <c r="I202" s="62">
        <f t="shared" si="105"/>
        <v>0</v>
      </c>
      <c r="J202" s="62">
        <f t="shared" si="105"/>
        <v>0</v>
      </c>
      <c r="K202" s="62">
        <f t="shared" si="105"/>
        <v>0</v>
      </c>
      <c r="L202" s="62">
        <f t="shared" si="105"/>
        <v>0</v>
      </c>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row>
    <row r="203" spans="1:45">
      <c r="A203" s="57">
        <v>17</v>
      </c>
      <c r="B203" s="57" t="s">
        <v>61</v>
      </c>
      <c r="C203" s="62">
        <f t="shared" ref="C203:L203" si="106">SUM(AJ$5:AJ$21)</f>
        <v>0</v>
      </c>
      <c r="D203" s="62">
        <f t="shared" si="106"/>
        <v>0</v>
      </c>
      <c r="E203" s="62">
        <f t="shared" si="106"/>
        <v>0</v>
      </c>
      <c r="F203" s="62">
        <f t="shared" si="106"/>
        <v>0</v>
      </c>
      <c r="G203" s="62">
        <f t="shared" si="106"/>
        <v>0</v>
      </c>
      <c r="H203" s="62">
        <f t="shared" si="106"/>
        <v>0</v>
      </c>
      <c r="I203" s="62">
        <f t="shared" si="106"/>
        <v>0</v>
      </c>
      <c r="J203" s="62">
        <f t="shared" si="106"/>
        <v>0</v>
      </c>
      <c r="K203" s="62">
        <f t="shared" si="106"/>
        <v>0</v>
      </c>
      <c r="L203" s="62">
        <f t="shared" si="106"/>
        <v>0</v>
      </c>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row>
    <row r="204" spans="1:45">
      <c r="A204" s="57">
        <v>17</v>
      </c>
      <c r="B204" s="57" t="s">
        <v>155</v>
      </c>
      <c r="C204" s="62" t="e" cm="1">
        <f t="array" ref="C204">SUMPRODUCT(--(2026&gt;'2. Investicijos'!$F$5:$F$21),--(2026&lt;='2. Investicijos'!$F$5:$F$21+'2. Investicijos'!$G$5:$G$21),IFERROR(('2. Investicijos'!$M$5:$M$21+'2. Investicijos'!$N$5:$N$21)/'2. Investicijos'!$G$5:$G$21,0))+SUMPRODUCT(--(2026&gt;'2. Investicijos'!$F$5:$F$21),--(2026&lt;='2. Investicijos'!$F$5:$F$21+'2. Investicijos'!$G$5:$G$21),IFERROR(('2. Investicijos'!$M$5:$M$21+'2. Investicijos'!$N$5:$N$21)*(1-((2026-'2. Investicijos'!$F$5:$F$21)-1)/'2. Investicijos'!$G$5:$G$21),0)*'5. 0% scenarijus'!$C$5)</f>
        <v>#VALUE!</v>
      </c>
      <c r="D204" s="62" t="e" cm="1">
        <f t="array" ref="D204">SUMPRODUCT(--(2027&gt;'2. Investicijos'!$F$5:$F$21),--(2027&lt;='2. Investicijos'!$F$5:$F$21+'2. Investicijos'!$G$5:$G$21),IFERROR(('2. Investicijos'!$M$5:$M$21+'2. Investicijos'!$N$5:$N$21)/'2. Investicijos'!$G$5:$G$21,0))+SUMPRODUCT(--(2027&gt;'2. Investicijos'!$F$5:$F$21),--(2027&lt;='2. Investicijos'!$F$5:$F$21+'2. Investicijos'!$G$5:$G$21),IFERROR(('2. Investicijos'!$M$5:$M$21+'2. Investicijos'!$N$5:$N$21)*(1-((2027-'2. Investicijos'!$F$5:$F$21)-1)/'2. Investicijos'!$G$5:$G$21),0)*'5. 0% scenarijus'!$C$5)</f>
        <v>#VALUE!</v>
      </c>
      <c r="E204" s="62" t="e" cm="1">
        <f t="array" ref="E204">SUMPRODUCT(--(2028&gt;'2. Investicijos'!$F$5:$F$21),--(2028&lt;='2. Investicijos'!$F$5:$F$21+'2. Investicijos'!$G$5:$G$21),IFERROR(('2. Investicijos'!$M$5:$M$21+'2. Investicijos'!$N$5:$N$21)/'2. Investicijos'!$G$5:$G$21,0))+SUMPRODUCT(--(2028&gt;'2. Investicijos'!$F$5:$F$21),--(2028&lt;='2. Investicijos'!$F$5:$F$21+'2. Investicijos'!$G$5:$G$21),IFERROR(('2. Investicijos'!$M$5:$M$21+'2. Investicijos'!$N$5:$N$21)*(1-((2028-'2. Investicijos'!$F$5:$F$21)-1)/'2. Investicijos'!$G$5:$G$21),0)*'5. 0% scenarijus'!$C$5)</f>
        <v>#VALUE!</v>
      </c>
      <c r="F204" s="62" t="e" cm="1">
        <f t="array" ref="F204">SUMPRODUCT(--(2029&gt;'2. Investicijos'!$F$5:$F$21),--(2029&lt;='2. Investicijos'!$F$5:$F$21+'2. Investicijos'!$G$5:$G$21),IFERROR(('2. Investicijos'!$M$5:$M$21+'2. Investicijos'!$N$5:$N$21)/'2. Investicijos'!$G$5:$G$21,0))+SUMPRODUCT(--(2029&gt;'2. Investicijos'!$F$5:$F$21),--(2029&lt;='2. Investicijos'!$F$5:$F$21+'2. Investicijos'!$G$5:$G$21),IFERROR(('2. Investicijos'!$M$5:$M$21+'2. Investicijos'!$N$5:$N$21)*(1-((2029-'2. Investicijos'!$F$5:$F$21)-1)/'2. Investicijos'!$G$5:$G$21),0)*'5. 0% scenarijus'!$C$5)</f>
        <v>#VALUE!</v>
      </c>
      <c r="G204" s="62" t="e" cm="1">
        <f t="array" ref="G204">SUMPRODUCT(--(2030&gt;'2. Investicijos'!$F$5:$F$21),--(2030&lt;='2. Investicijos'!$F$5:$F$21+'2. Investicijos'!$G$5:$G$21),IFERROR(('2. Investicijos'!$M$5:$M$21+'2. Investicijos'!$N$5:$N$21)/'2. Investicijos'!$G$5:$G$21,0))+SUMPRODUCT(--(2030&gt;'2. Investicijos'!$F$5:$F$21),--(2030&lt;='2. Investicijos'!$F$5:$F$21+'2. Investicijos'!$G$5:$G$21),IFERROR(('2. Investicijos'!$M$5:$M$21+'2. Investicijos'!$N$5:$N$21)*(1-((2030-'2. Investicijos'!$F$5:$F$21)-1)/'2. Investicijos'!$G$5:$G$21),0)*'5. 0% scenarijus'!$C$5)</f>
        <v>#VALUE!</v>
      </c>
      <c r="H204" s="62" t="e" cm="1">
        <f t="array" ref="H204">SUMPRODUCT(--(2031&gt;'2. Investicijos'!$F$5:$F$21),--(2031&lt;='2. Investicijos'!$F$5:$F$21+'2. Investicijos'!$G$5:$G$21),IFERROR(('2. Investicijos'!$M$5:$M$21+'2. Investicijos'!$N$5:$N$21)/'2. Investicijos'!$G$5:$G$21,0))+SUMPRODUCT(--(2031&gt;'2. Investicijos'!$F$5:$F$21),--(2031&lt;='2. Investicijos'!$F$5:$F$21+'2. Investicijos'!$G$5:$G$21),IFERROR(('2. Investicijos'!$M$5:$M$21+'2. Investicijos'!$N$5:$N$21)*(1-((2031-'2. Investicijos'!$F$5:$F$21)-1)/'2. Investicijos'!$G$5:$G$21),0)*'5. 0% scenarijus'!$C$5)</f>
        <v>#VALUE!</v>
      </c>
      <c r="I204" s="62" t="e" cm="1">
        <f t="array" ref="I204">SUMPRODUCT(--(2032&gt;'2. Investicijos'!$F$5:$F$21),--(2032&lt;='2. Investicijos'!$F$5:$F$21+'2. Investicijos'!$G$5:$G$21),IFERROR(('2. Investicijos'!$M$5:$M$21+'2. Investicijos'!$N$5:$N$21)/'2. Investicijos'!$G$5:$G$21,0))+SUMPRODUCT(--(2032&gt;'2. Investicijos'!$F$5:$F$21),--(2032&lt;='2. Investicijos'!$F$5:$F$21+'2. Investicijos'!$G$5:$G$21),IFERROR(('2. Investicijos'!$M$5:$M$21+'2. Investicijos'!$N$5:$N$21)*(1-((2032-'2. Investicijos'!$F$5:$F$21)-1)/'2. Investicijos'!$G$5:$G$21),0)*'5. 0% scenarijus'!$C$5)</f>
        <v>#VALUE!</v>
      </c>
      <c r="J204" s="62" t="e" cm="1">
        <f t="array" ref="J204">SUMPRODUCT(--(2033&gt;'2. Investicijos'!$F$5:$F$21),--(2033&lt;='2. Investicijos'!$F$5:$F$21+'2. Investicijos'!$G$5:$G$21),IFERROR(('2. Investicijos'!$M$5:$M$21+'2. Investicijos'!$N$5:$N$21)/'2. Investicijos'!$G$5:$G$21,0))+SUMPRODUCT(--(2033&gt;'2. Investicijos'!$F$5:$F$21),--(2033&lt;='2. Investicijos'!$F$5:$F$21+'2. Investicijos'!$G$5:$G$21),IFERROR(('2. Investicijos'!$M$5:$M$21+'2. Investicijos'!$N$5:$N$21)*(1-((2033-'2. Investicijos'!$F$5:$F$21)-1)/'2. Investicijos'!$G$5:$G$21),0)*'5. 0% scenarijus'!$C$5)</f>
        <v>#VALUE!</v>
      </c>
      <c r="K204" s="62" t="e" cm="1">
        <f t="array" ref="K204">SUMPRODUCT(--(2034&gt;'2. Investicijos'!$F$5:$F$21),--(2034&lt;='2. Investicijos'!$F$5:$F$21+'2. Investicijos'!$G$5:$G$21),IFERROR(('2. Investicijos'!$M$5:$M$21+'2. Investicijos'!$N$5:$N$21)/'2. Investicijos'!$G$5:$G$21,0))+SUMPRODUCT(--(2034&gt;'2. Investicijos'!$F$5:$F$21),--(2034&lt;='2. Investicijos'!$F$5:$F$21+'2. Investicijos'!$G$5:$G$21),IFERROR(('2. Investicijos'!$M$5:$M$21+'2. Investicijos'!$N$5:$N$21)*(1-((2034-'2. Investicijos'!$F$5:$F$21)-1)/'2. Investicijos'!$G$5:$G$21),0)*'5. 0% scenarijus'!$C$5)</f>
        <v>#VALUE!</v>
      </c>
      <c r="L204" s="62" t="e" cm="1">
        <f t="array" ref="L204">SUMPRODUCT(--(2035&gt;'2. Investicijos'!$F$5:$F$21),--(2035&lt;='2. Investicijos'!$F$5:$F$21+'2. Investicijos'!$G$5:$G$21),IFERROR(('2. Investicijos'!$M$5:$M$21+'2. Investicijos'!$N$5:$N$21)/'2. Investicijos'!$G$5:$G$21,0))+SUMPRODUCT(--(2035&gt;'2. Investicijos'!$F$5:$F$21),--(2035&lt;='2. Investicijos'!$F$5:$F$21+'2. Investicijos'!$G$5:$G$21),IFERROR(('2. Investicijos'!$M$5:$M$21+'2. Investicijos'!$N$5:$N$21)*(1-((2035-'2. Investicijos'!$F$5:$F$21)-1)/'2. Investicijos'!$G$5:$G$21),0)*'5. 0% scenarijus'!$C$5)</f>
        <v>#VALUE!</v>
      </c>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row>
    <row r="205" spans="1:45">
      <c r="A205" s="57">
        <v>17</v>
      </c>
      <c r="B205" s="57" t="s">
        <v>62</v>
      </c>
      <c r="C205" s="62" t="e">
        <f>'3. Finansinės prielaidos'!C29+C204</f>
        <v>#VALUE!</v>
      </c>
      <c r="D205" s="62" t="e">
        <f>'3. Finansinės prielaidos'!D29+D204</f>
        <v>#VALUE!</v>
      </c>
      <c r="E205" s="62" t="e">
        <f>'3. Finansinės prielaidos'!E29+E204</f>
        <v>#VALUE!</v>
      </c>
      <c r="F205" s="62" t="e">
        <f>'3. Finansinės prielaidos'!F29+F204</f>
        <v>#VALUE!</v>
      </c>
      <c r="G205" s="62" t="e">
        <f>'3. Finansinės prielaidos'!G29+G204</f>
        <v>#VALUE!</v>
      </c>
      <c r="H205" s="62" t="e">
        <f>'3. Finansinės prielaidos'!H29+H204</f>
        <v>#VALUE!</v>
      </c>
      <c r="I205" s="62" t="e">
        <f>'3. Finansinės prielaidos'!I29+I204</f>
        <v>#VALUE!</v>
      </c>
      <c r="J205" s="62" t="e">
        <f>'3. Finansinės prielaidos'!J29+J204</f>
        <v>#VALUE!</v>
      </c>
      <c r="K205" s="62" t="e">
        <f>'3. Finansinės prielaidos'!K29+K204</f>
        <v>#VALUE!</v>
      </c>
      <c r="L205" s="62" t="e">
        <f>'3. Finansinės prielaidos'!L29+L204</f>
        <v>#VALUE!</v>
      </c>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row>
    <row r="206" spans="1:45">
      <c r="A206" s="57">
        <v>17</v>
      </c>
      <c r="B206" s="57" t="s">
        <v>159</v>
      </c>
      <c r="C206" s="62">
        <f>'3. Finansinės prielaidos'!C30+C203</f>
        <v>0</v>
      </c>
      <c r="D206" s="62">
        <f>'3. Finansinės prielaidos'!D30+D203</f>
        <v>0</v>
      </c>
      <c r="E206" s="62">
        <f>'3. Finansinės prielaidos'!E30+E203</f>
        <v>0</v>
      </c>
      <c r="F206" s="62">
        <f>'3. Finansinės prielaidos'!F30+F203</f>
        <v>0</v>
      </c>
      <c r="G206" s="62">
        <f>'3. Finansinės prielaidos'!G30+G203</f>
        <v>0</v>
      </c>
      <c r="H206" s="62">
        <f>'3. Finansinės prielaidos'!H30+H203</f>
        <v>0</v>
      </c>
      <c r="I206" s="62">
        <f>'3. Finansinės prielaidos'!I30+I203</f>
        <v>0</v>
      </c>
      <c r="J206" s="62">
        <f>'3. Finansinės prielaidos'!J30+J203</f>
        <v>0</v>
      </c>
      <c r="K206" s="62">
        <f>'3. Finansinės prielaidos'!K30+K203</f>
        <v>0</v>
      </c>
      <c r="L206" s="62">
        <f>'3. Finansinės prielaidos'!L30+L203</f>
        <v>0</v>
      </c>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row>
    <row r="207" spans="1:45">
      <c r="A207" s="57">
        <v>17</v>
      </c>
      <c r="B207" s="57" t="s">
        <v>160</v>
      </c>
      <c r="C207" s="62" t="e" cm="1">
        <f t="array" ref="C207">'3. Finansinės prielaidos'!C31+C204+C201+SUMPRODUCT('4. Metinis CAPEX'!F$9:F$25,IFERROR(('2. Investicijos'!$I$5:$I$21+'2. Investicijos'!$J$5:$J$21+'2. Investicijos'!$K$5:$K$21+'2. Investicijos'!$L$5:$L$21)/'2. Investicijos'!$H$5:$H$21,0))-C200-SUM(P$5:P$21)-C202-0</f>
        <v>#VALUE!</v>
      </c>
      <c r="D207" s="62" t="e" cm="1">
        <f t="array" ref="D207">C207+('3. Finansinės prielaidos'!D31-'3. Finansinės prielaidos'!C31)+D204+D201+SUMPRODUCT('4. Metinis CAPEX'!G$9:G$25,IFERROR(('2. Investicijos'!$I$5:$I$21+'2. Investicijos'!$J$5:$J$21+'2. Investicijos'!$K$5:$K$21+'2. Investicijos'!$L$5:$L$21)/'2. Investicijos'!$H$5:$H$21,0))-D200-SUM(Q$5:Q$21)-D202-MAX(0,-C207)*IFERROR(SUMPRODUCT('2. Investicijos'!$N$5:$N$21,'2. Investicijos'!$O$5:$O$21/100)/SUM('2. Investicijos'!$N$5:$N$21),0)</f>
        <v>#VALUE!</v>
      </c>
      <c r="E207" s="62" t="e" cm="1">
        <f t="array" ref="E207">D207+('3. Finansinės prielaidos'!E31-'3. Finansinės prielaidos'!D31)+E204+E201+SUMPRODUCT('4. Metinis CAPEX'!H$9:H$25,IFERROR(('2. Investicijos'!$I$5:$I$21+'2. Investicijos'!$J$5:$J$21+'2. Investicijos'!$K$5:$K$21+'2. Investicijos'!$L$5:$L$21)/'2. Investicijos'!$H$5:$H$21,0))-E200-SUM(R$5:R$21)-E202-MAX(0,-D207)*IFERROR(SUMPRODUCT('2. Investicijos'!$N$5:$N$21,'2. Investicijos'!$O$5:$O$21/100)/SUM('2. Investicijos'!$N$5:$N$21),0)</f>
        <v>#VALUE!</v>
      </c>
      <c r="F207" s="62" t="e" cm="1">
        <f t="array" ref="F207">E207+('3. Finansinės prielaidos'!F31-'3. Finansinės prielaidos'!E31)+F204+F201+SUMPRODUCT('4. Metinis CAPEX'!I$9:I$25,IFERROR(('2. Investicijos'!$I$5:$I$21+'2. Investicijos'!$J$5:$J$21+'2. Investicijos'!$K$5:$K$21+'2. Investicijos'!$L$5:$L$21)/'2. Investicijos'!$H$5:$H$21,0))-F200-SUM(S$5:S$21)-F202-MAX(0,-E207)*IFERROR(SUMPRODUCT('2. Investicijos'!$N$5:$N$21,'2. Investicijos'!$O$5:$O$21/100)/SUM('2. Investicijos'!$N$5:$N$21),0)</f>
        <v>#VALUE!</v>
      </c>
      <c r="G207" s="62" t="e" cm="1">
        <f t="array" ref="G207">F207+('3. Finansinės prielaidos'!G31-'3. Finansinės prielaidos'!F31)+G204+G201+SUMPRODUCT('4. Metinis CAPEX'!J$9:J$25,IFERROR(('2. Investicijos'!$I$5:$I$21+'2. Investicijos'!$J$5:$J$21+'2. Investicijos'!$K$5:$K$21+'2. Investicijos'!$L$5:$L$21)/'2. Investicijos'!$H$5:$H$21,0))-G200-SUM(T$5:T$21)-G202-MAX(0,-F207)*IFERROR(SUMPRODUCT('2. Investicijos'!$N$5:$N$21,'2. Investicijos'!$O$5:$O$21/100)/SUM('2. Investicijos'!$N$5:$N$21),0)</f>
        <v>#VALUE!</v>
      </c>
      <c r="H207" s="62" t="e" cm="1">
        <f t="array" ref="H207">G207+('3. Finansinės prielaidos'!H31-'3. Finansinės prielaidos'!G31)+H204+H201+SUMPRODUCT('4. Metinis CAPEX'!K$9:K$25,IFERROR(('2. Investicijos'!$I$5:$I$21+'2. Investicijos'!$J$5:$J$21+'2. Investicijos'!$K$5:$K$21+'2. Investicijos'!$L$5:$L$21)/'2. Investicijos'!$H$5:$H$21,0))-H200-SUM(U$5:U$21)-H202-MAX(0,-G207)*IFERROR(SUMPRODUCT('2. Investicijos'!$N$5:$N$21,'2. Investicijos'!$O$5:$O$21/100)/SUM('2. Investicijos'!$N$5:$N$21),0)</f>
        <v>#VALUE!</v>
      </c>
      <c r="I207" s="62" t="e" cm="1">
        <f t="array" ref="I207">H207+('3. Finansinės prielaidos'!I31-'3. Finansinės prielaidos'!H31)+I204+I201+SUMPRODUCT('4. Metinis CAPEX'!L$9:L$25,IFERROR(('2. Investicijos'!$I$5:$I$21+'2. Investicijos'!$J$5:$J$21+'2. Investicijos'!$K$5:$K$21+'2. Investicijos'!$L$5:$L$21)/'2. Investicijos'!$H$5:$H$21,0))-I200-SUM(V$5:V$21)-I202-MAX(0,-H207)*IFERROR(SUMPRODUCT('2. Investicijos'!$N$5:$N$21,'2. Investicijos'!$O$5:$O$21/100)/SUM('2. Investicijos'!$N$5:$N$21),0)</f>
        <v>#VALUE!</v>
      </c>
      <c r="J207" s="62" t="e" cm="1">
        <f t="array" ref="J207">I207+('3. Finansinės prielaidos'!J31-'3. Finansinės prielaidos'!I31)+J204+J201+SUMPRODUCT('4. Metinis CAPEX'!M$9:M$25,IFERROR(('2. Investicijos'!$I$5:$I$21+'2. Investicijos'!$J$5:$J$21+'2. Investicijos'!$K$5:$K$21+'2. Investicijos'!$L$5:$L$21)/'2. Investicijos'!$H$5:$H$21,0))-J200-SUM(W$5:W$21)-J202-MAX(0,-I207)*IFERROR(SUMPRODUCT('2. Investicijos'!$N$5:$N$21,'2. Investicijos'!$O$5:$O$21/100)/SUM('2. Investicijos'!$N$5:$N$21),0)</f>
        <v>#VALUE!</v>
      </c>
      <c r="K207" s="62" t="e" cm="1">
        <f t="array" ref="K207">J207+('3. Finansinės prielaidos'!K31-'3. Finansinės prielaidos'!J31)+K204+K201+SUMPRODUCT('4. Metinis CAPEX'!N$9:N$25,IFERROR(('2. Investicijos'!$I$5:$I$21+'2. Investicijos'!$J$5:$J$21+'2. Investicijos'!$K$5:$K$21+'2. Investicijos'!$L$5:$L$21)/'2. Investicijos'!$H$5:$H$21,0))-K200-SUM(X$5:X$21)-K202-MAX(0,-J207)*IFERROR(SUMPRODUCT('2. Investicijos'!$N$5:$N$21,'2. Investicijos'!$O$5:$O$21/100)/SUM('2. Investicijos'!$N$5:$N$21),0)</f>
        <v>#VALUE!</v>
      </c>
      <c r="L207" s="62" t="e" cm="1">
        <f t="array" ref="L207">K207+('3. Finansinės prielaidos'!L31-'3. Finansinės prielaidos'!K31)+L204+L201+SUMPRODUCT('4. Metinis CAPEX'!O$9:O$25,IFERROR(('2. Investicijos'!$I$5:$I$21+'2. Investicijos'!$J$5:$J$21+'2. Investicijos'!$K$5:$K$21+'2. Investicijos'!$L$5:$L$21)/'2. Investicijos'!$H$5:$H$21,0))-L200-SUM(Y$5:Y$21)-L202-MAX(0,-K207)*IFERROR(SUMPRODUCT('2. Investicijos'!$N$5:$N$21,'2. Investicijos'!$O$5:$O$21/100)/SUM('2. Investicijos'!$N$5:$N$21),0)</f>
        <v>#VALUE!</v>
      </c>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row>
    <row r="208" spans="1:45">
      <c r="A208" s="57">
        <v>17</v>
      </c>
      <c r="B208" s="57" t="s">
        <v>23</v>
      </c>
      <c r="C208" s="62" t="e">
        <f t="shared" ref="C208:L208" si="107">IF(OR(C205="",C206="",C207="",C205&lt;=0),"",(C206-C207)/C205)</f>
        <v>#VALUE!</v>
      </c>
      <c r="D208" s="62" t="e">
        <f t="shared" si="107"/>
        <v>#VALUE!</v>
      </c>
      <c r="E208" s="62" t="e">
        <f t="shared" si="107"/>
        <v>#VALUE!</v>
      </c>
      <c r="F208" s="62" t="e">
        <f t="shared" si="107"/>
        <v>#VALUE!</v>
      </c>
      <c r="G208" s="62" t="e">
        <f t="shared" si="107"/>
        <v>#VALUE!</v>
      </c>
      <c r="H208" s="62" t="e">
        <f t="shared" si="107"/>
        <v>#VALUE!</v>
      </c>
      <c r="I208" s="62" t="e">
        <f t="shared" si="107"/>
        <v>#VALUE!</v>
      </c>
      <c r="J208" s="62" t="e">
        <f t="shared" si="107"/>
        <v>#VALUE!</v>
      </c>
      <c r="K208" s="62" t="e">
        <f t="shared" si="107"/>
        <v>#VALUE!</v>
      </c>
      <c r="L208" s="62" t="e">
        <f t="shared" si="107"/>
        <v>#VALUE!</v>
      </c>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row>
    <row r="209" spans="1:45">
      <c r="A209" s="57">
        <v>17</v>
      </c>
      <c r="B209" s="57" t="s">
        <v>24</v>
      </c>
      <c r="C209" s="62" t="e">
        <f>IF(OR(C205="",C205&lt;=0,'3. Finansinės prielaidos'!C32=""),"",IF('3. Finansinės prielaidos'!C32+SUM(P$5:P$21)+C202+0=0,999999,C205/('3. Finansinės prielaidos'!C32+SUM(P$5:P$21)+C202+0)))</f>
        <v>#VALUE!</v>
      </c>
      <c r="D209" s="62" t="e" cm="1">
        <f t="array" ref="D209">IF(OR(D205="",D205&lt;=0,'3. Finansinės prielaidos'!D32=""),"",IF('3. Finansinės prielaidos'!D32+SUM(Q$5:Q$21)+D202+MAX(0,-C207)*IFERROR(SUMPRODUCT('2. Investicijos'!$N$5:$N$21,'2. Investicijos'!$O$5:$O$21/100)/SUM('2. Investicijos'!$N$5:$N$21),0)=0,999999,D205/('3. Finansinės prielaidos'!D32+SUM(Q$5:Q$21)+D202+MAX(0,-C207)*IFERROR(SUMPRODUCT('2. Investicijos'!$N$5:$N$21,'2. Investicijos'!$O$5:$O$21/100)/SUM('2. Investicijos'!$N$5:$N$21),0))))</f>
        <v>#VALUE!</v>
      </c>
      <c r="E209" s="62" t="e" cm="1">
        <f t="array" ref="E209">IF(OR(E205="",E205&lt;=0,'3. Finansinės prielaidos'!E32=""),"",IF('3. Finansinės prielaidos'!E32+SUM(R$5:R$21)+E202+MAX(0,-D207)*IFERROR(SUMPRODUCT('2. Investicijos'!$N$5:$N$21,'2. Investicijos'!$O$5:$O$21/100)/SUM('2. Investicijos'!$N$5:$N$21),0)=0,999999,E205/('3. Finansinės prielaidos'!E32+SUM(R$5:R$21)+E202+MAX(0,-D207)*IFERROR(SUMPRODUCT('2. Investicijos'!$N$5:$N$21,'2. Investicijos'!$O$5:$O$21/100)/SUM('2. Investicijos'!$N$5:$N$21),0))))</f>
        <v>#VALUE!</v>
      </c>
      <c r="F209" s="62" t="e" cm="1">
        <f t="array" ref="F209">IF(OR(F205="",F205&lt;=0,'3. Finansinės prielaidos'!F32=""),"",IF('3. Finansinės prielaidos'!F32+SUM(S$5:S$21)+F202+MAX(0,-E207)*IFERROR(SUMPRODUCT('2. Investicijos'!$N$5:$N$21,'2. Investicijos'!$O$5:$O$21/100)/SUM('2. Investicijos'!$N$5:$N$21),0)=0,999999,F205/('3. Finansinės prielaidos'!F32+SUM(S$5:S$21)+F202+MAX(0,-E207)*IFERROR(SUMPRODUCT('2. Investicijos'!$N$5:$N$21,'2. Investicijos'!$O$5:$O$21/100)/SUM('2. Investicijos'!$N$5:$N$21),0))))</f>
        <v>#VALUE!</v>
      </c>
      <c r="G209" s="62" t="e" cm="1">
        <f t="array" ref="G209">IF(OR(G205="",G205&lt;=0,'3. Finansinės prielaidos'!G32=""),"",IF('3. Finansinės prielaidos'!G32+SUM(T$5:T$21)+G202+MAX(0,-F207)*IFERROR(SUMPRODUCT('2. Investicijos'!$N$5:$N$21,'2. Investicijos'!$O$5:$O$21/100)/SUM('2. Investicijos'!$N$5:$N$21),0)=0,999999,G205/('3. Finansinės prielaidos'!G32+SUM(T$5:T$21)+G202+MAX(0,-F207)*IFERROR(SUMPRODUCT('2. Investicijos'!$N$5:$N$21,'2. Investicijos'!$O$5:$O$21/100)/SUM('2. Investicijos'!$N$5:$N$21),0))))</f>
        <v>#VALUE!</v>
      </c>
      <c r="H209" s="62" t="e" cm="1">
        <f t="array" ref="H209">IF(OR(H205="",H205&lt;=0,'3. Finansinės prielaidos'!H32=""),"",IF('3. Finansinės prielaidos'!H32+SUM(U$5:U$21)+H202+MAX(0,-G207)*IFERROR(SUMPRODUCT('2. Investicijos'!$N$5:$N$21,'2. Investicijos'!$O$5:$O$21/100)/SUM('2. Investicijos'!$N$5:$N$21),0)=0,999999,H205/('3. Finansinės prielaidos'!H32+SUM(U$5:U$21)+H202+MAX(0,-G207)*IFERROR(SUMPRODUCT('2. Investicijos'!$N$5:$N$21,'2. Investicijos'!$O$5:$O$21/100)/SUM('2. Investicijos'!$N$5:$N$21),0))))</f>
        <v>#VALUE!</v>
      </c>
      <c r="I209" s="62" t="e" cm="1">
        <f t="array" ref="I209">IF(OR(I205="",I205&lt;=0,'3. Finansinės prielaidos'!I32=""),"",IF('3. Finansinės prielaidos'!I32+SUM(V$5:V$21)+I202+MAX(0,-H207)*IFERROR(SUMPRODUCT('2. Investicijos'!$N$5:$N$21,'2. Investicijos'!$O$5:$O$21/100)/SUM('2. Investicijos'!$N$5:$N$21),0)=0,999999,I205/('3. Finansinės prielaidos'!I32+SUM(V$5:V$21)+I202+MAX(0,-H207)*IFERROR(SUMPRODUCT('2. Investicijos'!$N$5:$N$21,'2. Investicijos'!$O$5:$O$21/100)/SUM('2. Investicijos'!$N$5:$N$21),0))))</f>
        <v>#VALUE!</v>
      </c>
      <c r="J209" s="62" t="e" cm="1">
        <f t="array" ref="J209">IF(OR(J205="",J205&lt;=0,'3. Finansinės prielaidos'!J32=""),"",IF('3. Finansinės prielaidos'!J32+SUM(W$5:W$21)+J202+MAX(0,-I207)*IFERROR(SUMPRODUCT('2. Investicijos'!$N$5:$N$21,'2. Investicijos'!$O$5:$O$21/100)/SUM('2. Investicijos'!$N$5:$N$21),0)=0,999999,J205/('3. Finansinės prielaidos'!J32+SUM(W$5:W$21)+J202+MAX(0,-I207)*IFERROR(SUMPRODUCT('2. Investicijos'!$N$5:$N$21,'2. Investicijos'!$O$5:$O$21/100)/SUM('2. Investicijos'!$N$5:$N$21),0))))</f>
        <v>#VALUE!</v>
      </c>
      <c r="K209" s="62" t="e" cm="1">
        <f t="array" ref="K209">IF(OR(K205="",K205&lt;=0,'3. Finansinės prielaidos'!K32=""),"",IF('3. Finansinės prielaidos'!K32+SUM(X$5:X$21)+K202+MAX(0,-J207)*IFERROR(SUMPRODUCT('2. Investicijos'!$N$5:$N$21,'2. Investicijos'!$O$5:$O$21/100)/SUM('2. Investicijos'!$N$5:$N$21),0)=0,999999,K205/('3. Finansinės prielaidos'!K32+SUM(X$5:X$21)+K202+MAX(0,-J207)*IFERROR(SUMPRODUCT('2. Investicijos'!$N$5:$N$21,'2. Investicijos'!$O$5:$O$21/100)/SUM('2. Investicijos'!$N$5:$N$21),0))))</f>
        <v>#VALUE!</v>
      </c>
      <c r="L209" s="62" t="e" cm="1">
        <f t="array" ref="L209">IF(OR(L205="",L205&lt;=0,'3. Finansinės prielaidos'!L32=""),"",IF('3. Finansinės prielaidos'!L32+SUM(Y$5:Y$21)+L202+MAX(0,-K207)*IFERROR(SUMPRODUCT('2. Investicijos'!$N$5:$N$21,'2. Investicijos'!$O$5:$O$21/100)/SUM('2. Investicijos'!$N$5:$N$21),0)=0,999999,L205/('3. Finansinės prielaidos'!L32+SUM(Y$5:Y$21)+L202+MAX(0,-K207)*IFERROR(SUMPRODUCT('2. Investicijos'!$N$5:$N$21,'2. Investicijos'!$O$5:$O$21/100)/SUM('2. Investicijos'!$N$5:$N$21),0))))</f>
        <v>#VALUE!</v>
      </c>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row>
    <row r="210" spans="1:45">
      <c r="A210" s="57">
        <v>18</v>
      </c>
      <c r="B210" s="57" t="s">
        <v>58</v>
      </c>
      <c r="C210" s="62">
        <f>SUM('4. Metinis CAPEX'!F$9:F$26)</f>
        <v>0</v>
      </c>
      <c r="D210" s="62">
        <f>SUM('4. Metinis CAPEX'!G$9:G$26)</f>
        <v>0</v>
      </c>
      <c r="E210" s="62">
        <f>SUM('4. Metinis CAPEX'!H$9:H$26)</f>
        <v>0</v>
      </c>
      <c r="F210" s="62">
        <f>SUM('4. Metinis CAPEX'!I$9:I$26)</f>
        <v>0</v>
      </c>
      <c r="G210" s="62">
        <f>SUM('4. Metinis CAPEX'!J$9:J$26)</f>
        <v>0</v>
      </c>
      <c r="H210" s="62">
        <f>SUM('4. Metinis CAPEX'!K$9:K$26)</f>
        <v>0</v>
      </c>
      <c r="I210" s="62">
        <f>SUM('4. Metinis CAPEX'!L$9:L$26)</f>
        <v>0</v>
      </c>
      <c r="J210" s="62">
        <f>SUM('4. Metinis CAPEX'!M$9:M$26)</f>
        <v>0</v>
      </c>
      <c r="K210" s="62">
        <f>SUM('4. Metinis CAPEX'!N$9:N$26)</f>
        <v>0</v>
      </c>
      <c r="L210" s="62">
        <f>SUM('4. Metinis CAPEX'!O$9:O$26)</f>
        <v>0</v>
      </c>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row>
    <row r="211" spans="1:45">
      <c r="A211" s="57">
        <v>18</v>
      </c>
      <c r="B211" s="57" t="s">
        <v>59</v>
      </c>
      <c r="C211" s="62">
        <f t="shared" ref="C211:L211" si="108">SUM(F$5:F$22)</f>
        <v>0</v>
      </c>
      <c r="D211" s="62">
        <f t="shared" si="108"/>
        <v>0</v>
      </c>
      <c r="E211" s="62">
        <f t="shared" si="108"/>
        <v>0</v>
      </c>
      <c r="F211" s="62">
        <f t="shared" si="108"/>
        <v>0</v>
      </c>
      <c r="G211" s="62">
        <f t="shared" si="108"/>
        <v>0</v>
      </c>
      <c r="H211" s="62">
        <f t="shared" si="108"/>
        <v>0</v>
      </c>
      <c r="I211" s="62">
        <f t="shared" si="108"/>
        <v>0</v>
      </c>
      <c r="J211" s="62">
        <f t="shared" si="108"/>
        <v>0</v>
      </c>
      <c r="K211" s="62">
        <f t="shared" si="108"/>
        <v>0</v>
      </c>
      <c r="L211" s="62">
        <f t="shared" si="108"/>
        <v>0</v>
      </c>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row>
    <row r="212" spans="1:45">
      <c r="A212" s="57">
        <v>18</v>
      </c>
      <c r="B212" s="57" t="s">
        <v>60</v>
      </c>
      <c r="C212" s="62">
        <f t="shared" ref="C212:L212" si="109">SUM(Z$5:Z$22)</f>
        <v>0</v>
      </c>
      <c r="D212" s="62">
        <f t="shared" si="109"/>
        <v>0</v>
      </c>
      <c r="E212" s="62">
        <f t="shared" si="109"/>
        <v>0</v>
      </c>
      <c r="F212" s="62">
        <f t="shared" si="109"/>
        <v>0</v>
      </c>
      <c r="G212" s="62">
        <f t="shared" si="109"/>
        <v>0</v>
      </c>
      <c r="H212" s="62">
        <f t="shared" si="109"/>
        <v>0</v>
      </c>
      <c r="I212" s="62">
        <f t="shared" si="109"/>
        <v>0</v>
      </c>
      <c r="J212" s="62">
        <f t="shared" si="109"/>
        <v>0</v>
      </c>
      <c r="K212" s="62">
        <f t="shared" si="109"/>
        <v>0</v>
      </c>
      <c r="L212" s="62">
        <f t="shared" si="109"/>
        <v>0</v>
      </c>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row>
    <row r="213" spans="1:45">
      <c r="A213" s="57">
        <v>18</v>
      </c>
      <c r="B213" s="57" t="s">
        <v>61</v>
      </c>
      <c r="C213" s="62">
        <f t="shared" ref="C213:L213" si="110">SUM(AJ$5:AJ$22)</f>
        <v>0</v>
      </c>
      <c r="D213" s="62">
        <f t="shared" si="110"/>
        <v>0</v>
      </c>
      <c r="E213" s="62">
        <f t="shared" si="110"/>
        <v>0</v>
      </c>
      <c r="F213" s="62">
        <f t="shared" si="110"/>
        <v>0</v>
      </c>
      <c r="G213" s="62">
        <f t="shared" si="110"/>
        <v>0</v>
      </c>
      <c r="H213" s="62">
        <f t="shared" si="110"/>
        <v>0</v>
      </c>
      <c r="I213" s="62">
        <f t="shared" si="110"/>
        <v>0</v>
      </c>
      <c r="J213" s="62">
        <f t="shared" si="110"/>
        <v>0</v>
      </c>
      <c r="K213" s="62">
        <f t="shared" si="110"/>
        <v>0</v>
      </c>
      <c r="L213" s="62">
        <f t="shared" si="110"/>
        <v>0</v>
      </c>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row>
    <row r="214" spans="1:45">
      <c r="A214" s="57">
        <v>18</v>
      </c>
      <c r="B214" s="57" t="s">
        <v>155</v>
      </c>
      <c r="C214" s="62" t="e" cm="1">
        <f t="array" ref="C214">SUMPRODUCT(--(2026&gt;'2. Investicijos'!$F$5:$F$22),--(2026&lt;='2. Investicijos'!$F$5:$F$22+'2. Investicijos'!$G$5:$G$22),IFERROR(('2. Investicijos'!$M$5:$M$22+'2. Investicijos'!$N$5:$N$22)/'2. Investicijos'!$G$5:$G$22,0))+SUMPRODUCT(--(2026&gt;'2. Investicijos'!$F$5:$F$22),--(2026&lt;='2. Investicijos'!$F$5:$F$22+'2. Investicijos'!$G$5:$G$22),IFERROR(('2. Investicijos'!$M$5:$M$22+'2. Investicijos'!$N$5:$N$22)*(1-((2026-'2. Investicijos'!$F$5:$F$22)-1)/'2. Investicijos'!$G$5:$G$22),0)*'5. 0% scenarijus'!$C$5)</f>
        <v>#VALUE!</v>
      </c>
      <c r="D214" s="62" t="e" cm="1">
        <f t="array" ref="D214">SUMPRODUCT(--(2027&gt;'2. Investicijos'!$F$5:$F$22),--(2027&lt;='2. Investicijos'!$F$5:$F$22+'2. Investicijos'!$G$5:$G$22),IFERROR(('2. Investicijos'!$M$5:$M$22+'2. Investicijos'!$N$5:$N$22)/'2. Investicijos'!$G$5:$G$22,0))+SUMPRODUCT(--(2027&gt;'2. Investicijos'!$F$5:$F$22),--(2027&lt;='2. Investicijos'!$F$5:$F$22+'2. Investicijos'!$G$5:$G$22),IFERROR(('2. Investicijos'!$M$5:$M$22+'2. Investicijos'!$N$5:$N$22)*(1-((2027-'2. Investicijos'!$F$5:$F$22)-1)/'2. Investicijos'!$G$5:$G$22),0)*'5. 0% scenarijus'!$C$5)</f>
        <v>#VALUE!</v>
      </c>
      <c r="E214" s="62" t="e" cm="1">
        <f t="array" ref="E214">SUMPRODUCT(--(2028&gt;'2. Investicijos'!$F$5:$F$22),--(2028&lt;='2. Investicijos'!$F$5:$F$22+'2. Investicijos'!$G$5:$G$22),IFERROR(('2. Investicijos'!$M$5:$M$22+'2. Investicijos'!$N$5:$N$22)/'2. Investicijos'!$G$5:$G$22,0))+SUMPRODUCT(--(2028&gt;'2. Investicijos'!$F$5:$F$22),--(2028&lt;='2. Investicijos'!$F$5:$F$22+'2. Investicijos'!$G$5:$G$22),IFERROR(('2. Investicijos'!$M$5:$M$22+'2. Investicijos'!$N$5:$N$22)*(1-((2028-'2. Investicijos'!$F$5:$F$22)-1)/'2. Investicijos'!$G$5:$G$22),0)*'5. 0% scenarijus'!$C$5)</f>
        <v>#VALUE!</v>
      </c>
      <c r="F214" s="62" t="e" cm="1">
        <f t="array" ref="F214">SUMPRODUCT(--(2029&gt;'2. Investicijos'!$F$5:$F$22),--(2029&lt;='2. Investicijos'!$F$5:$F$22+'2. Investicijos'!$G$5:$G$22),IFERROR(('2. Investicijos'!$M$5:$M$22+'2. Investicijos'!$N$5:$N$22)/'2. Investicijos'!$G$5:$G$22,0))+SUMPRODUCT(--(2029&gt;'2. Investicijos'!$F$5:$F$22),--(2029&lt;='2. Investicijos'!$F$5:$F$22+'2. Investicijos'!$G$5:$G$22),IFERROR(('2. Investicijos'!$M$5:$M$22+'2. Investicijos'!$N$5:$N$22)*(1-((2029-'2. Investicijos'!$F$5:$F$22)-1)/'2. Investicijos'!$G$5:$G$22),0)*'5. 0% scenarijus'!$C$5)</f>
        <v>#VALUE!</v>
      </c>
      <c r="G214" s="62" t="e" cm="1">
        <f t="array" ref="G214">SUMPRODUCT(--(2030&gt;'2. Investicijos'!$F$5:$F$22),--(2030&lt;='2. Investicijos'!$F$5:$F$22+'2. Investicijos'!$G$5:$G$22),IFERROR(('2. Investicijos'!$M$5:$M$22+'2. Investicijos'!$N$5:$N$22)/'2. Investicijos'!$G$5:$G$22,0))+SUMPRODUCT(--(2030&gt;'2. Investicijos'!$F$5:$F$22),--(2030&lt;='2. Investicijos'!$F$5:$F$22+'2. Investicijos'!$G$5:$G$22),IFERROR(('2. Investicijos'!$M$5:$M$22+'2. Investicijos'!$N$5:$N$22)*(1-((2030-'2. Investicijos'!$F$5:$F$22)-1)/'2. Investicijos'!$G$5:$G$22),0)*'5. 0% scenarijus'!$C$5)</f>
        <v>#VALUE!</v>
      </c>
      <c r="H214" s="62" t="e" cm="1">
        <f t="array" ref="H214">SUMPRODUCT(--(2031&gt;'2. Investicijos'!$F$5:$F$22),--(2031&lt;='2. Investicijos'!$F$5:$F$22+'2. Investicijos'!$G$5:$G$22),IFERROR(('2. Investicijos'!$M$5:$M$22+'2. Investicijos'!$N$5:$N$22)/'2. Investicijos'!$G$5:$G$22,0))+SUMPRODUCT(--(2031&gt;'2. Investicijos'!$F$5:$F$22),--(2031&lt;='2. Investicijos'!$F$5:$F$22+'2. Investicijos'!$G$5:$G$22),IFERROR(('2. Investicijos'!$M$5:$M$22+'2. Investicijos'!$N$5:$N$22)*(1-((2031-'2. Investicijos'!$F$5:$F$22)-1)/'2. Investicijos'!$G$5:$G$22),0)*'5. 0% scenarijus'!$C$5)</f>
        <v>#VALUE!</v>
      </c>
      <c r="I214" s="62" t="e" cm="1">
        <f t="array" ref="I214">SUMPRODUCT(--(2032&gt;'2. Investicijos'!$F$5:$F$22),--(2032&lt;='2. Investicijos'!$F$5:$F$22+'2. Investicijos'!$G$5:$G$22),IFERROR(('2. Investicijos'!$M$5:$M$22+'2. Investicijos'!$N$5:$N$22)/'2. Investicijos'!$G$5:$G$22,0))+SUMPRODUCT(--(2032&gt;'2. Investicijos'!$F$5:$F$22),--(2032&lt;='2. Investicijos'!$F$5:$F$22+'2. Investicijos'!$G$5:$G$22),IFERROR(('2. Investicijos'!$M$5:$M$22+'2. Investicijos'!$N$5:$N$22)*(1-((2032-'2. Investicijos'!$F$5:$F$22)-1)/'2. Investicijos'!$G$5:$G$22),0)*'5. 0% scenarijus'!$C$5)</f>
        <v>#VALUE!</v>
      </c>
      <c r="J214" s="62" t="e" cm="1">
        <f t="array" ref="J214">SUMPRODUCT(--(2033&gt;'2. Investicijos'!$F$5:$F$22),--(2033&lt;='2. Investicijos'!$F$5:$F$22+'2. Investicijos'!$G$5:$G$22),IFERROR(('2. Investicijos'!$M$5:$M$22+'2. Investicijos'!$N$5:$N$22)/'2. Investicijos'!$G$5:$G$22,0))+SUMPRODUCT(--(2033&gt;'2. Investicijos'!$F$5:$F$22),--(2033&lt;='2. Investicijos'!$F$5:$F$22+'2. Investicijos'!$G$5:$G$22),IFERROR(('2. Investicijos'!$M$5:$M$22+'2. Investicijos'!$N$5:$N$22)*(1-((2033-'2. Investicijos'!$F$5:$F$22)-1)/'2. Investicijos'!$G$5:$G$22),0)*'5. 0% scenarijus'!$C$5)</f>
        <v>#VALUE!</v>
      </c>
      <c r="K214" s="62" t="e" cm="1">
        <f t="array" ref="K214">SUMPRODUCT(--(2034&gt;'2. Investicijos'!$F$5:$F$22),--(2034&lt;='2. Investicijos'!$F$5:$F$22+'2. Investicijos'!$G$5:$G$22),IFERROR(('2. Investicijos'!$M$5:$M$22+'2. Investicijos'!$N$5:$N$22)/'2. Investicijos'!$G$5:$G$22,0))+SUMPRODUCT(--(2034&gt;'2. Investicijos'!$F$5:$F$22),--(2034&lt;='2. Investicijos'!$F$5:$F$22+'2. Investicijos'!$G$5:$G$22),IFERROR(('2. Investicijos'!$M$5:$M$22+'2. Investicijos'!$N$5:$N$22)*(1-((2034-'2. Investicijos'!$F$5:$F$22)-1)/'2. Investicijos'!$G$5:$G$22),0)*'5. 0% scenarijus'!$C$5)</f>
        <v>#VALUE!</v>
      </c>
      <c r="L214" s="62" t="e" cm="1">
        <f t="array" ref="L214">SUMPRODUCT(--(2035&gt;'2. Investicijos'!$F$5:$F$22),--(2035&lt;='2. Investicijos'!$F$5:$F$22+'2. Investicijos'!$G$5:$G$22),IFERROR(('2. Investicijos'!$M$5:$M$22+'2. Investicijos'!$N$5:$N$22)/'2. Investicijos'!$G$5:$G$22,0))+SUMPRODUCT(--(2035&gt;'2. Investicijos'!$F$5:$F$22),--(2035&lt;='2. Investicijos'!$F$5:$F$22+'2. Investicijos'!$G$5:$G$22),IFERROR(('2. Investicijos'!$M$5:$M$22+'2. Investicijos'!$N$5:$N$22)*(1-((2035-'2. Investicijos'!$F$5:$F$22)-1)/'2. Investicijos'!$G$5:$G$22),0)*'5. 0% scenarijus'!$C$5)</f>
        <v>#VALUE!</v>
      </c>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row>
    <row r="215" spans="1:45">
      <c r="A215" s="57">
        <v>18</v>
      </c>
      <c r="B215" s="57" t="s">
        <v>62</v>
      </c>
      <c r="C215" s="62" t="e">
        <f>'3. Finansinės prielaidos'!C29+C214</f>
        <v>#VALUE!</v>
      </c>
      <c r="D215" s="62" t="e">
        <f>'3. Finansinės prielaidos'!D29+D214</f>
        <v>#VALUE!</v>
      </c>
      <c r="E215" s="62" t="e">
        <f>'3. Finansinės prielaidos'!E29+E214</f>
        <v>#VALUE!</v>
      </c>
      <c r="F215" s="62" t="e">
        <f>'3. Finansinės prielaidos'!F29+F214</f>
        <v>#VALUE!</v>
      </c>
      <c r="G215" s="62" t="e">
        <f>'3. Finansinės prielaidos'!G29+G214</f>
        <v>#VALUE!</v>
      </c>
      <c r="H215" s="62" t="e">
        <f>'3. Finansinės prielaidos'!H29+H214</f>
        <v>#VALUE!</v>
      </c>
      <c r="I215" s="62" t="e">
        <f>'3. Finansinės prielaidos'!I29+I214</f>
        <v>#VALUE!</v>
      </c>
      <c r="J215" s="62" t="e">
        <f>'3. Finansinės prielaidos'!J29+J214</f>
        <v>#VALUE!</v>
      </c>
      <c r="K215" s="62" t="e">
        <f>'3. Finansinės prielaidos'!K29+K214</f>
        <v>#VALUE!</v>
      </c>
      <c r="L215" s="62" t="e">
        <f>'3. Finansinės prielaidos'!L29+L214</f>
        <v>#VALUE!</v>
      </c>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row>
    <row r="216" spans="1:45">
      <c r="A216" s="57">
        <v>18</v>
      </c>
      <c r="B216" s="57" t="s">
        <v>159</v>
      </c>
      <c r="C216" s="62">
        <f>'3. Finansinės prielaidos'!C30+C213</f>
        <v>0</v>
      </c>
      <c r="D216" s="62">
        <f>'3. Finansinės prielaidos'!D30+D213</f>
        <v>0</v>
      </c>
      <c r="E216" s="62">
        <f>'3. Finansinės prielaidos'!E30+E213</f>
        <v>0</v>
      </c>
      <c r="F216" s="62">
        <f>'3. Finansinės prielaidos'!F30+F213</f>
        <v>0</v>
      </c>
      <c r="G216" s="62">
        <f>'3. Finansinės prielaidos'!G30+G213</f>
        <v>0</v>
      </c>
      <c r="H216" s="62">
        <f>'3. Finansinės prielaidos'!H30+H213</f>
        <v>0</v>
      </c>
      <c r="I216" s="62">
        <f>'3. Finansinės prielaidos'!I30+I213</f>
        <v>0</v>
      </c>
      <c r="J216" s="62">
        <f>'3. Finansinės prielaidos'!J30+J213</f>
        <v>0</v>
      </c>
      <c r="K216" s="62">
        <f>'3. Finansinės prielaidos'!K30+K213</f>
        <v>0</v>
      </c>
      <c r="L216" s="62">
        <f>'3. Finansinės prielaidos'!L30+L213</f>
        <v>0</v>
      </c>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row>
    <row r="217" spans="1:45">
      <c r="A217" s="57">
        <v>18</v>
      </c>
      <c r="B217" s="57" t="s">
        <v>160</v>
      </c>
      <c r="C217" s="62" t="e" cm="1">
        <f t="array" ref="C217">'3. Finansinės prielaidos'!C31+C214+C211+SUMPRODUCT('4. Metinis CAPEX'!F$9:F$26,IFERROR(('2. Investicijos'!$I$5:$I$22+'2. Investicijos'!$J$5:$J$22+'2. Investicijos'!$K$5:$K$22+'2. Investicijos'!$L$5:$L$22)/'2. Investicijos'!$H$5:$H$22,0))-C210-SUM(P$5:P$22)-C212-0</f>
        <v>#VALUE!</v>
      </c>
      <c r="D217" s="62" t="e" cm="1">
        <f t="array" ref="D217">C217+('3. Finansinės prielaidos'!D31-'3. Finansinės prielaidos'!C31)+D214+D211+SUMPRODUCT('4. Metinis CAPEX'!G$9:G$26,IFERROR(('2. Investicijos'!$I$5:$I$22+'2. Investicijos'!$J$5:$J$22+'2. Investicijos'!$K$5:$K$22+'2. Investicijos'!$L$5:$L$22)/'2. Investicijos'!$H$5:$H$22,0))-D210-SUM(Q$5:Q$22)-D212-MAX(0,-C217)*IFERROR(SUMPRODUCT('2. Investicijos'!$N$5:$N$22,'2. Investicijos'!$O$5:$O$22/100)/SUM('2. Investicijos'!$N$5:$N$22),0)</f>
        <v>#VALUE!</v>
      </c>
      <c r="E217" s="62" t="e" cm="1">
        <f t="array" ref="E217">D217+('3. Finansinės prielaidos'!E31-'3. Finansinės prielaidos'!D31)+E214+E211+SUMPRODUCT('4. Metinis CAPEX'!H$9:H$26,IFERROR(('2. Investicijos'!$I$5:$I$22+'2. Investicijos'!$J$5:$J$22+'2. Investicijos'!$K$5:$K$22+'2. Investicijos'!$L$5:$L$22)/'2. Investicijos'!$H$5:$H$22,0))-E210-SUM(R$5:R$22)-E212-MAX(0,-D217)*IFERROR(SUMPRODUCT('2. Investicijos'!$N$5:$N$22,'2. Investicijos'!$O$5:$O$22/100)/SUM('2. Investicijos'!$N$5:$N$22),0)</f>
        <v>#VALUE!</v>
      </c>
      <c r="F217" s="62" t="e" cm="1">
        <f t="array" ref="F217">E217+('3. Finansinės prielaidos'!F31-'3. Finansinės prielaidos'!E31)+F214+F211+SUMPRODUCT('4. Metinis CAPEX'!I$9:I$26,IFERROR(('2. Investicijos'!$I$5:$I$22+'2. Investicijos'!$J$5:$J$22+'2. Investicijos'!$K$5:$K$22+'2. Investicijos'!$L$5:$L$22)/'2. Investicijos'!$H$5:$H$22,0))-F210-SUM(S$5:S$22)-F212-MAX(0,-E217)*IFERROR(SUMPRODUCT('2. Investicijos'!$N$5:$N$22,'2. Investicijos'!$O$5:$O$22/100)/SUM('2. Investicijos'!$N$5:$N$22),0)</f>
        <v>#VALUE!</v>
      </c>
      <c r="G217" s="62" t="e" cm="1">
        <f t="array" ref="G217">F217+('3. Finansinės prielaidos'!G31-'3. Finansinės prielaidos'!F31)+G214+G211+SUMPRODUCT('4. Metinis CAPEX'!J$9:J$26,IFERROR(('2. Investicijos'!$I$5:$I$22+'2. Investicijos'!$J$5:$J$22+'2. Investicijos'!$K$5:$K$22+'2. Investicijos'!$L$5:$L$22)/'2. Investicijos'!$H$5:$H$22,0))-G210-SUM(T$5:T$22)-G212-MAX(0,-F217)*IFERROR(SUMPRODUCT('2. Investicijos'!$N$5:$N$22,'2. Investicijos'!$O$5:$O$22/100)/SUM('2. Investicijos'!$N$5:$N$22),0)</f>
        <v>#VALUE!</v>
      </c>
      <c r="H217" s="62" t="e" cm="1">
        <f t="array" ref="H217">G217+('3. Finansinės prielaidos'!H31-'3. Finansinės prielaidos'!G31)+H214+H211+SUMPRODUCT('4. Metinis CAPEX'!K$9:K$26,IFERROR(('2. Investicijos'!$I$5:$I$22+'2. Investicijos'!$J$5:$J$22+'2. Investicijos'!$K$5:$K$22+'2. Investicijos'!$L$5:$L$22)/'2. Investicijos'!$H$5:$H$22,0))-H210-SUM(U$5:U$22)-H212-MAX(0,-G217)*IFERROR(SUMPRODUCT('2. Investicijos'!$N$5:$N$22,'2. Investicijos'!$O$5:$O$22/100)/SUM('2. Investicijos'!$N$5:$N$22),0)</f>
        <v>#VALUE!</v>
      </c>
      <c r="I217" s="62" t="e" cm="1">
        <f t="array" ref="I217">H217+('3. Finansinės prielaidos'!I31-'3. Finansinės prielaidos'!H31)+I214+I211+SUMPRODUCT('4. Metinis CAPEX'!L$9:L$26,IFERROR(('2. Investicijos'!$I$5:$I$22+'2. Investicijos'!$J$5:$J$22+'2. Investicijos'!$K$5:$K$22+'2. Investicijos'!$L$5:$L$22)/'2. Investicijos'!$H$5:$H$22,0))-I210-SUM(V$5:V$22)-I212-MAX(0,-H217)*IFERROR(SUMPRODUCT('2. Investicijos'!$N$5:$N$22,'2. Investicijos'!$O$5:$O$22/100)/SUM('2. Investicijos'!$N$5:$N$22),0)</f>
        <v>#VALUE!</v>
      </c>
      <c r="J217" s="62" t="e" cm="1">
        <f t="array" ref="J217">I217+('3. Finansinės prielaidos'!J31-'3. Finansinės prielaidos'!I31)+J214+J211+SUMPRODUCT('4. Metinis CAPEX'!M$9:M$26,IFERROR(('2. Investicijos'!$I$5:$I$22+'2. Investicijos'!$J$5:$J$22+'2. Investicijos'!$K$5:$K$22+'2. Investicijos'!$L$5:$L$22)/'2. Investicijos'!$H$5:$H$22,0))-J210-SUM(W$5:W$22)-J212-MAX(0,-I217)*IFERROR(SUMPRODUCT('2. Investicijos'!$N$5:$N$22,'2. Investicijos'!$O$5:$O$22/100)/SUM('2. Investicijos'!$N$5:$N$22),0)</f>
        <v>#VALUE!</v>
      </c>
      <c r="K217" s="62" t="e" cm="1">
        <f t="array" ref="K217">J217+('3. Finansinės prielaidos'!K31-'3. Finansinės prielaidos'!J31)+K214+K211+SUMPRODUCT('4. Metinis CAPEX'!N$9:N$26,IFERROR(('2. Investicijos'!$I$5:$I$22+'2. Investicijos'!$J$5:$J$22+'2. Investicijos'!$K$5:$K$22+'2. Investicijos'!$L$5:$L$22)/'2. Investicijos'!$H$5:$H$22,0))-K210-SUM(X$5:X$22)-K212-MAX(0,-J217)*IFERROR(SUMPRODUCT('2. Investicijos'!$N$5:$N$22,'2. Investicijos'!$O$5:$O$22/100)/SUM('2. Investicijos'!$N$5:$N$22),0)</f>
        <v>#VALUE!</v>
      </c>
      <c r="L217" s="62" t="e" cm="1">
        <f t="array" ref="L217">K217+('3. Finansinės prielaidos'!L31-'3. Finansinės prielaidos'!K31)+L214+L211+SUMPRODUCT('4. Metinis CAPEX'!O$9:O$26,IFERROR(('2. Investicijos'!$I$5:$I$22+'2. Investicijos'!$J$5:$J$22+'2. Investicijos'!$K$5:$K$22+'2. Investicijos'!$L$5:$L$22)/'2. Investicijos'!$H$5:$H$22,0))-L210-SUM(Y$5:Y$22)-L212-MAX(0,-K217)*IFERROR(SUMPRODUCT('2. Investicijos'!$N$5:$N$22,'2. Investicijos'!$O$5:$O$22/100)/SUM('2. Investicijos'!$N$5:$N$22),0)</f>
        <v>#VALUE!</v>
      </c>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row>
    <row r="218" spans="1:45">
      <c r="A218" s="57">
        <v>18</v>
      </c>
      <c r="B218" s="57" t="s">
        <v>23</v>
      </c>
      <c r="C218" s="62" t="e">
        <f t="shared" ref="C218:L218" si="111">IF(OR(C215="",C216="",C217="",C215&lt;=0),"",(C216-C217)/C215)</f>
        <v>#VALUE!</v>
      </c>
      <c r="D218" s="62" t="e">
        <f t="shared" si="111"/>
        <v>#VALUE!</v>
      </c>
      <c r="E218" s="62" t="e">
        <f t="shared" si="111"/>
        <v>#VALUE!</v>
      </c>
      <c r="F218" s="62" t="e">
        <f t="shared" si="111"/>
        <v>#VALUE!</v>
      </c>
      <c r="G218" s="62" t="e">
        <f t="shared" si="111"/>
        <v>#VALUE!</v>
      </c>
      <c r="H218" s="62" t="e">
        <f t="shared" si="111"/>
        <v>#VALUE!</v>
      </c>
      <c r="I218" s="62" t="e">
        <f t="shared" si="111"/>
        <v>#VALUE!</v>
      </c>
      <c r="J218" s="62" t="e">
        <f t="shared" si="111"/>
        <v>#VALUE!</v>
      </c>
      <c r="K218" s="62" t="e">
        <f t="shared" si="111"/>
        <v>#VALUE!</v>
      </c>
      <c r="L218" s="62" t="e">
        <f t="shared" si="111"/>
        <v>#VALUE!</v>
      </c>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row>
    <row r="219" spans="1:45">
      <c r="A219" s="57">
        <v>18</v>
      </c>
      <c r="B219" s="57" t="s">
        <v>24</v>
      </c>
      <c r="C219" s="62" t="e">
        <f>IF(OR(C215="",C215&lt;=0,'3. Finansinės prielaidos'!C32=""),"",IF('3. Finansinės prielaidos'!C32+SUM(P$5:P$22)+C212+0=0,999999,C215/('3. Finansinės prielaidos'!C32+SUM(P$5:P$22)+C212+0)))</f>
        <v>#VALUE!</v>
      </c>
      <c r="D219" s="62" t="e" cm="1">
        <f t="array" ref="D219">IF(OR(D215="",D215&lt;=0,'3. Finansinės prielaidos'!D32=""),"",IF('3. Finansinės prielaidos'!D32+SUM(Q$5:Q$22)+D212+MAX(0,-C217)*IFERROR(SUMPRODUCT('2. Investicijos'!$N$5:$N$22,'2. Investicijos'!$O$5:$O$22/100)/SUM('2. Investicijos'!$N$5:$N$22),0)=0,999999,D215/('3. Finansinės prielaidos'!D32+SUM(Q$5:Q$22)+D212+MAX(0,-C217)*IFERROR(SUMPRODUCT('2. Investicijos'!$N$5:$N$22,'2. Investicijos'!$O$5:$O$22/100)/SUM('2. Investicijos'!$N$5:$N$22),0))))</f>
        <v>#VALUE!</v>
      </c>
      <c r="E219" s="62" t="e" cm="1">
        <f t="array" ref="E219">IF(OR(E215="",E215&lt;=0,'3. Finansinės prielaidos'!E32=""),"",IF('3. Finansinės prielaidos'!E32+SUM(R$5:R$22)+E212+MAX(0,-D217)*IFERROR(SUMPRODUCT('2. Investicijos'!$N$5:$N$22,'2. Investicijos'!$O$5:$O$22/100)/SUM('2. Investicijos'!$N$5:$N$22),0)=0,999999,E215/('3. Finansinės prielaidos'!E32+SUM(R$5:R$22)+E212+MAX(0,-D217)*IFERROR(SUMPRODUCT('2. Investicijos'!$N$5:$N$22,'2. Investicijos'!$O$5:$O$22/100)/SUM('2. Investicijos'!$N$5:$N$22),0))))</f>
        <v>#VALUE!</v>
      </c>
      <c r="F219" s="62" t="e" cm="1">
        <f t="array" ref="F219">IF(OR(F215="",F215&lt;=0,'3. Finansinės prielaidos'!F32=""),"",IF('3. Finansinės prielaidos'!F32+SUM(S$5:S$22)+F212+MAX(0,-E217)*IFERROR(SUMPRODUCT('2. Investicijos'!$N$5:$N$22,'2. Investicijos'!$O$5:$O$22/100)/SUM('2. Investicijos'!$N$5:$N$22),0)=0,999999,F215/('3. Finansinės prielaidos'!F32+SUM(S$5:S$22)+F212+MAX(0,-E217)*IFERROR(SUMPRODUCT('2. Investicijos'!$N$5:$N$22,'2. Investicijos'!$O$5:$O$22/100)/SUM('2. Investicijos'!$N$5:$N$22),0))))</f>
        <v>#VALUE!</v>
      </c>
      <c r="G219" s="62" t="e" cm="1">
        <f t="array" ref="G219">IF(OR(G215="",G215&lt;=0,'3. Finansinės prielaidos'!G32=""),"",IF('3. Finansinės prielaidos'!G32+SUM(T$5:T$22)+G212+MAX(0,-F217)*IFERROR(SUMPRODUCT('2. Investicijos'!$N$5:$N$22,'2. Investicijos'!$O$5:$O$22/100)/SUM('2. Investicijos'!$N$5:$N$22),0)=0,999999,G215/('3. Finansinės prielaidos'!G32+SUM(T$5:T$22)+G212+MAX(0,-F217)*IFERROR(SUMPRODUCT('2. Investicijos'!$N$5:$N$22,'2. Investicijos'!$O$5:$O$22/100)/SUM('2. Investicijos'!$N$5:$N$22),0))))</f>
        <v>#VALUE!</v>
      </c>
      <c r="H219" s="62" t="e" cm="1">
        <f t="array" ref="H219">IF(OR(H215="",H215&lt;=0,'3. Finansinės prielaidos'!H32=""),"",IF('3. Finansinės prielaidos'!H32+SUM(U$5:U$22)+H212+MAX(0,-G217)*IFERROR(SUMPRODUCT('2. Investicijos'!$N$5:$N$22,'2. Investicijos'!$O$5:$O$22/100)/SUM('2. Investicijos'!$N$5:$N$22),0)=0,999999,H215/('3. Finansinės prielaidos'!H32+SUM(U$5:U$22)+H212+MAX(0,-G217)*IFERROR(SUMPRODUCT('2. Investicijos'!$N$5:$N$22,'2. Investicijos'!$O$5:$O$22/100)/SUM('2. Investicijos'!$N$5:$N$22),0))))</f>
        <v>#VALUE!</v>
      </c>
      <c r="I219" s="62" t="e" cm="1">
        <f t="array" ref="I219">IF(OR(I215="",I215&lt;=0,'3. Finansinės prielaidos'!I32=""),"",IF('3. Finansinės prielaidos'!I32+SUM(V$5:V$22)+I212+MAX(0,-H217)*IFERROR(SUMPRODUCT('2. Investicijos'!$N$5:$N$22,'2. Investicijos'!$O$5:$O$22/100)/SUM('2. Investicijos'!$N$5:$N$22),0)=0,999999,I215/('3. Finansinės prielaidos'!I32+SUM(V$5:V$22)+I212+MAX(0,-H217)*IFERROR(SUMPRODUCT('2. Investicijos'!$N$5:$N$22,'2. Investicijos'!$O$5:$O$22/100)/SUM('2. Investicijos'!$N$5:$N$22),0))))</f>
        <v>#VALUE!</v>
      </c>
      <c r="J219" s="62" t="e" cm="1">
        <f t="array" ref="J219">IF(OR(J215="",J215&lt;=0,'3. Finansinės prielaidos'!J32=""),"",IF('3. Finansinės prielaidos'!J32+SUM(W$5:W$22)+J212+MAX(0,-I217)*IFERROR(SUMPRODUCT('2. Investicijos'!$N$5:$N$22,'2. Investicijos'!$O$5:$O$22/100)/SUM('2. Investicijos'!$N$5:$N$22),0)=0,999999,J215/('3. Finansinės prielaidos'!J32+SUM(W$5:W$22)+J212+MAX(0,-I217)*IFERROR(SUMPRODUCT('2. Investicijos'!$N$5:$N$22,'2. Investicijos'!$O$5:$O$22/100)/SUM('2. Investicijos'!$N$5:$N$22),0))))</f>
        <v>#VALUE!</v>
      </c>
      <c r="K219" s="62" t="e" cm="1">
        <f t="array" ref="K219">IF(OR(K215="",K215&lt;=0,'3. Finansinės prielaidos'!K32=""),"",IF('3. Finansinės prielaidos'!K32+SUM(X$5:X$22)+K212+MAX(0,-J217)*IFERROR(SUMPRODUCT('2. Investicijos'!$N$5:$N$22,'2. Investicijos'!$O$5:$O$22/100)/SUM('2. Investicijos'!$N$5:$N$22),0)=0,999999,K215/('3. Finansinės prielaidos'!K32+SUM(X$5:X$22)+K212+MAX(0,-J217)*IFERROR(SUMPRODUCT('2. Investicijos'!$N$5:$N$22,'2. Investicijos'!$O$5:$O$22/100)/SUM('2. Investicijos'!$N$5:$N$22),0))))</f>
        <v>#VALUE!</v>
      </c>
      <c r="L219" s="62" t="e" cm="1">
        <f t="array" ref="L219">IF(OR(L215="",L215&lt;=0,'3. Finansinės prielaidos'!L32=""),"",IF('3. Finansinės prielaidos'!L32+SUM(Y$5:Y$22)+L212+MAX(0,-K217)*IFERROR(SUMPRODUCT('2. Investicijos'!$N$5:$N$22,'2. Investicijos'!$O$5:$O$22/100)/SUM('2. Investicijos'!$N$5:$N$22),0)=0,999999,L215/('3. Finansinės prielaidos'!L32+SUM(Y$5:Y$22)+L212+MAX(0,-K217)*IFERROR(SUMPRODUCT('2. Investicijos'!$N$5:$N$22,'2. Investicijos'!$O$5:$O$22/100)/SUM('2. Investicijos'!$N$5:$N$22),0))))</f>
        <v>#VALUE!</v>
      </c>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row>
    <row r="220" spans="1:45">
      <c r="A220" s="57">
        <v>19</v>
      </c>
      <c r="B220" s="57" t="s">
        <v>58</v>
      </c>
      <c r="C220" s="62">
        <f>SUM('4. Metinis CAPEX'!F$9:F$27)</f>
        <v>0</v>
      </c>
      <c r="D220" s="62">
        <f>SUM('4. Metinis CAPEX'!G$9:G$27)</f>
        <v>0</v>
      </c>
      <c r="E220" s="62">
        <f>SUM('4. Metinis CAPEX'!H$9:H$27)</f>
        <v>0</v>
      </c>
      <c r="F220" s="62">
        <f>SUM('4. Metinis CAPEX'!I$9:I$27)</f>
        <v>0</v>
      </c>
      <c r="G220" s="62">
        <f>SUM('4. Metinis CAPEX'!J$9:J$27)</f>
        <v>0</v>
      </c>
      <c r="H220" s="62">
        <f>SUM('4. Metinis CAPEX'!K$9:K$27)</f>
        <v>0</v>
      </c>
      <c r="I220" s="62">
        <f>SUM('4. Metinis CAPEX'!L$9:L$27)</f>
        <v>0</v>
      </c>
      <c r="J220" s="62">
        <f>SUM('4. Metinis CAPEX'!M$9:M$27)</f>
        <v>0</v>
      </c>
      <c r="K220" s="62">
        <f>SUM('4. Metinis CAPEX'!N$9:N$27)</f>
        <v>0</v>
      </c>
      <c r="L220" s="62">
        <f>SUM('4. Metinis CAPEX'!O$9:O$27)</f>
        <v>0</v>
      </c>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row>
    <row r="221" spans="1:45">
      <c r="A221" s="57">
        <v>19</v>
      </c>
      <c r="B221" s="57" t="s">
        <v>59</v>
      </c>
      <c r="C221" s="62">
        <f t="shared" ref="C221:L221" si="112">SUM(F$5:F$23)</f>
        <v>0</v>
      </c>
      <c r="D221" s="62">
        <f t="shared" si="112"/>
        <v>0</v>
      </c>
      <c r="E221" s="62">
        <f t="shared" si="112"/>
        <v>0</v>
      </c>
      <c r="F221" s="62">
        <f t="shared" si="112"/>
        <v>0</v>
      </c>
      <c r="G221" s="62">
        <f t="shared" si="112"/>
        <v>0</v>
      </c>
      <c r="H221" s="62">
        <f t="shared" si="112"/>
        <v>0</v>
      </c>
      <c r="I221" s="62">
        <f t="shared" si="112"/>
        <v>0</v>
      </c>
      <c r="J221" s="62">
        <f t="shared" si="112"/>
        <v>0</v>
      </c>
      <c r="K221" s="62">
        <f t="shared" si="112"/>
        <v>0</v>
      </c>
      <c r="L221" s="62">
        <f t="shared" si="112"/>
        <v>0</v>
      </c>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row>
    <row r="222" spans="1:45">
      <c r="A222" s="57">
        <v>19</v>
      </c>
      <c r="B222" s="57" t="s">
        <v>60</v>
      </c>
      <c r="C222" s="62">
        <f t="shared" ref="C222:L222" si="113">SUM(Z$5:Z$23)</f>
        <v>0</v>
      </c>
      <c r="D222" s="62">
        <f t="shared" si="113"/>
        <v>0</v>
      </c>
      <c r="E222" s="62">
        <f t="shared" si="113"/>
        <v>0</v>
      </c>
      <c r="F222" s="62">
        <f t="shared" si="113"/>
        <v>0</v>
      </c>
      <c r="G222" s="62">
        <f t="shared" si="113"/>
        <v>0</v>
      </c>
      <c r="H222" s="62">
        <f t="shared" si="113"/>
        <v>0</v>
      </c>
      <c r="I222" s="62">
        <f t="shared" si="113"/>
        <v>0</v>
      </c>
      <c r="J222" s="62">
        <f t="shared" si="113"/>
        <v>0</v>
      </c>
      <c r="K222" s="62">
        <f t="shared" si="113"/>
        <v>0</v>
      </c>
      <c r="L222" s="62">
        <f t="shared" si="113"/>
        <v>0</v>
      </c>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row>
    <row r="223" spans="1:45">
      <c r="A223" s="57">
        <v>19</v>
      </c>
      <c r="B223" s="57" t="s">
        <v>61</v>
      </c>
      <c r="C223" s="62">
        <f t="shared" ref="C223:L223" si="114">SUM(AJ$5:AJ$23)</f>
        <v>0</v>
      </c>
      <c r="D223" s="62">
        <f t="shared" si="114"/>
        <v>0</v>
      </c>
      <c r="E223" s="62">
        <f t="shared" si="114"/>
        <v>0</v>
      </c>
      <c r="F223" s="62">
        <f t="shared" si="114"/>
        <v>0</v>
      </c>
      <c r="G223" s="62">
        <f t="shared" si="114"/>
        <v>0</v>
      </c>
      <c r="H223" s="62">
        <f t="shared" si="114"/>
        <v>0</v>
      </c>
      <c r="I223" s="62">
        <f t="shared" si="114"/>
        <v>0</v>
      </c>
      <c r="J223" s="62">
        <f t="shared" si="114"/>
        <v>0</v>
      </c>
      <c r="K223" s="62">
        <f t="shared" si="114"/>
        <v>0</v>
      </c>
      <c r="L223" s="62">
        <f t="shared" si="114"/>
        <v>0</v>
      </c>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row>
    <row r="224" spans="1:45">
      <c r="A224" s="57">
        <v>19</v>
      </c>
      <c r="B224" s="57" t="s">
        <v>155</v>
      </c>
      <c r="C224" s="62" t="e" cm="1">
        <f t="array" ref="C224">SUMPRODUCT(--(2026&gt;'2. Investicijos'!$F$5:$F$23),--(2026&lt;='2. Investicijos'!$F$5:$F$23+'2. Investicijos'!$G$5:$G$23),IFERROR(('2. Investicijos'!$M$5:$M$23+'2. Investicijos'!$N$5:$N$23)/'2. Investicijos'!$G$5:$G$23,0))+SUMPRODUCT(--(2026&gt;'2. Investicijos'!$F$5:$F$23),--(2026&lt;='2. Investicijos'!$F$5:$F$23+'2. Investicijos'!$G$5:$G$23),IFERROR(('2. Investicijos'!$M$5:$M$23+'2. Investicijos'!$N$5:$N$23)*(1-((2026-'2. Investicijos'!$F$5:$F$23)-1)/'2. Investicijos'!$G$5:$G$23),0)*'5. 0% scenarijus'!$C$5)</f>
        <v>#VALUE!</v>
      </c>
      <c r="D224" s="62" t="e" cm="1">
        <f t="array" ref="D224">SUMPRODUCT(--(2027&gt;'2. Investicijos'!$F$5:$F$23),--(2027&lt;='2. Investicijos'!$F$5:$F$23+'2. Investicijos'!$G$5:$G$23),IFERROR(('2. Investicijos'!$M$5:$M$23+'2. Investicijos'!$N$5:$N$23)/'2. Investicijos'!$G$5:$G$23,0))+SUMPRODUCT(--(2027&gt;'2. Investicijos'!$F$5:$F$23),--(2027&lt;='2. Investicijos'!$F$5:$F$23+'2. Investicijos'!$G$5:$G$23),IFERROR(('2. Investicijos'!$M$5:$M$23+'2. Investicijos'!$N$5:$N$23)*(1-((2027-'2. Investicijos'!$F$5:$F$23)-1)/'2. Investicijos'!$G$5:$G$23),0)*'5. 0% scenarijus'!$C$5)</f>
        <v>#VALUE!</v>
      </c>
      <c r="E224" s="62" t="e" cm="1">
        <f t="array" ref="E224">SUMPRODUCT(--(2028&gt;'2. Investicijos'!$F$5:$F$23),--(2028&lt;='2. Investicijos'!$F$5:$F$23+'2. Investicijos'!$G$5:$G$23),IFERROR(('2. Investicijos'!$M$5:$M$23+'2. Investicijos'!$N$5:$N$23)/'2. Investicijos'!$G$5:$G$23,0))+SUMPRODUCT(--(2028&gt;'2. Investicijos'!$F$5:$F$23),--(2028&lt;='2. Investicijos'!$F$5:$F$23+'2. Investicijos'!$G$5:$G$23),IFERROR(('2. Investicijos'!$M$5:$M$23+'2. Investicijos'!$N$5:$N$23)*(1-((2028-'2. Investicijos'!$F$5:$F$23)-1)/'2. Investicijos'!$G$5:$G$23),0)*'5. 0% scenarijus'!$C$5)</f>
        <v>#VALUE!</v>
      </c>
      <c r="F224" s="62" t="e" cm="1">
        <f t="array" ref="F224">SUMPRODUCT(--(2029&gt;'2. Investicijos'!$F$5:$F$23),--(2029&lt;='2. Investicijos'!$F$5:$F$23+'2. Investicijos'!$G$5:$G$23),IFERROR(('2. Investicijos'!$M$5:$M$23+'2. Investicijos'!$N$5:$N$23)/'2. Investicijos'!$G$5:$G$23,0))+SUMPRODUCT(--(2029&gt;'2. Investicijos'!$F$5:$F$23),--(2029&lt;='2. Investicijos'!$F$5:$F$23+'2. Investicijos'!$G$5:$G$23),IFERROR(('2. Investicijos'!$M$5:$M$23+'2. Investicijos'!$N$5:$N$23)*(1-((2029-'2. Investicijos'!$F$5:$F$23)-1)/'2. Investicijos'!$G$5:$G$23),0)*'5. 0% scenarijus'!$C$5)</f>
        <v>#VALUE!</v>
      </c>
      <c r="G224" s="62" t="e" cm="1">
        <f t="array" ref="G224">SUMPRODUCT(--(2030&gt;'2. Investicijos'!$F$5:$F$23),--(2030&lt;='2. Investicijos'!$F$5:$F$23+'2. Investicijos'!$G$5:$G$23),IFERROR(('2. Investicijos'!$M$5:$M$23+'2. Investicijos'!$N$5:$N$23)/'2. Investicijos'!$G$5:$G$23,0))+SUMPRODUCT(--(2030&gt;'2. Investicijos'!$F$5:$F$23),--(2030&lt;='2. Investicijos'!$F$5:$F$23+'2. Investicijos'!$G$5:$G$23),IFERROR(('2. Investicijos'!$M$5:$M$23+'2. Investicijos'!$N$5:$N$23)*(1-((2030-'2. Investicijos'!$F$5:$F$23)-1)/'2. Investicijos'!$G$5:$G$23),0)*'5. 0% scenarijus'!$C$5)</f>
        <v>#VALUE!</v>
      </c>
      <c r="H224" s="62" t="e" cm="1">
        <f t="array" ref="H224">SUMPRODUCT(--(2031&gt;'2. Investicijos'!$F$5:$F$23),--(2031&lt;='2. Investicijos'!$F$5:$F$23+'2. Investicijos'!$G$5:$G$23),IFERROR(('2. Investicijos'!$M$5:$M$23+'2. Investicijos'!$N$5:$N$23)/'2. Investicijos'!$G$5:$G$23,0))+SUMPRODUCT(--(2031&gt;'2. Investicijos'!$F$5:$F$23),--(2031&lt;='2. Investicijos'!$F$5:$F$23+'2. Investicijos'!$G$5:$G$23),IFERROR(('2. Investicijos'!$M$5:$M$23+'2. Investicijos'!$N$5:$N$23)*(1-((2031-'2. Investicijos'!$F$5:$F$23)-1)/'2. Investicijos'!$G$5:$G$23),0)*'5. 0% scenarijus'!$C$5)</f>
        <v>#VALUE!</v>
      </c>
      <c r="I224" s="62" t="e" cm="1">
        <f t="array" ref="I224">SUMPRODUCT(--(2032&gt;'2. Investicijos'!$F$5:$F$23),--(2032&lt;='2. Investicijos'!$F$5:$F$23+'2. Investicijos'!$G$5:$G$23),IFERROR(('2. Investicijos'!$M$5:$M$23+'2. Investicijos'!$N$5:$N$23)/'2. Investicijos'!$G$5:$G$23,0))+SUMPRODUCT(--(2032&gt;'2. Investicijos'!$F$5:$F$23),--(2032&lt;='2. Investicijos'!$F$5:$F$23+'2. Investicijos'!$G$5:$G$23),IFERROR(('2. Investicijos'!$M$5:$M$23+'2. Investicijos'!$N$5:$N$23)*(1-((2032-'2. Investicijos'!$F$5:$F$23)-1)/'2. Investicijos'!$G$5:$G$23),0)*'5. 0% scenarijus'!$C$5)</f>
        <v>#VALUE!</v>
      </c>
      <c r="J224" s="62" t="e" cm="1">
        <f t="array" ref="J224">SUMPRODUCT(--(2033&gt;'2. Investicijos'!$F$5:$F$23),--(2033&lt;='2. Investicijos'!$F$5:$F$23+'2. Investicijos'!$G$5:$G$23),IFERROR(('2. Investicijos'!$M$5:$M$23+'2. Investicijos'!$N$5:$N$23)/'2. Investicijos'!$G$5:$G$23,0))+SUMPRODUCT(--(2033&gt;'2. Investicijos'!$F$5:$F$23),--(2033&lt;='2. Investicijos'!$F$5:$F$23+'2. Investicijos'!$G$5:$G$23),IFERROR(('2. Investicijos'!$M$5:$M$23+'2. Investicijos'!$N$5:$N$23)*(1-((2033-'2. Investicijos'!$F$5:$F$23)-1)/'2. Investicijos'!$G$5:$G$23),0)*'5. 0% scenarijus'!$C$5)</f>
        <v>#VALUE!</v>
      </c>
      <c r="K224" s="62" t="e" cm="1">
        <f t="array" ref="K224">SUMPRODUCT(--(2034&gt;'2. Investicijos'!$F$5:$F$23),--(2034&lt;='2. Investicijos'!$F$5:$F$23+'2. Investicijos'!$G$5:$G$23),IFERROR(('2. Investicijos'!$M$5:$M$23+'2. Investicijos'!$N$5:$N$23)/'2. Investicijos'!$G$5:$G$23,0))+SUMPRODUCT(--(2034&gt;'2. Investicijos'!$F$5:$F$23),--(2034&lt;='2. Investicijos'!$F$5:$F$23+'2. Investicijos'!$G$5:$G$23),IFERROR(('2. Investicijos'!$M$5:$M$23+'2. Investicijos'!$N$5:$N$23)*(1-((2034-'2. Investicijos'!$F$5:$F$23)-1)/'2. Investicijos'!$G$5:$G$23),0)*'5. 0% scenarijus'!$C$5)</f>
        <v>#VALUE!</v>
      </c>
      <c r="L224" s="62" t="e" cm="1">
        <f t="array" ref="L224">SUMPRODUCT(--(2035&gt;'2. Investicijos'!$F$5:$F$23),--(2035&lt;='2. Investicijos'!$F$5:$F$23+'2. Investicijos'!$G$5:$G$23),IFERROR(('2. Investicijos'!$M$5:$M$23+'2. Investicijos'!$N$5:$N$23)/'2. Investicijos'!$G$5:$G$23,0))+SUMPRODUCT(--(2035&gt;'2. Investicijos'!$F$5:$F$23),--(2035&lt;='2. Investicijos'!$F$5:$F$23+'2. Investicijos'!$G$5:$G$23),IFERROR(('2. Investicijos'!$M$5:$M$23+'2. Investicijos'!$N$5:$N$23)*(1-((2035-'2. Investicijos'!$F$5:$F$23)-1)/'2. Investicijos'!$G$5:$G$23),0)*'5. 0% scenarijus'!$C$5)</f>
        <v>#VALUE!</v>
      </c>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row>
    <row r="225" spans="1:45">
      <c r="A225" s="57">
        <v>19</v>
      </c>
      <c r="B225" s="57" t="s">
        <v>62</v>
      </c>
      <c r="C225" s="62" t="e">
        <f>'3. Finansinės prielaidos'!C29+C224</f>
        <v>#VALUE!</v>
      </c>
      <c r="D225" s="62" t="e">
        <f>'3. Finansinės prielaidos'!D29+D224</f>
        <v>#VALUE!</v>
      </c>
      <c r="E225" s="62" t="e">
        <f>'3. Finansinės prielaidos'!E29+E224</f>
        <v>#VALUE!</v>
      </c>
      <c r="F225" s="62" t="e">
        <f>'3. Finansinės prielaidos'!F29+F224</f>
        <v>#VALUE!</v>
      </c>
      <c r="G225" s="62" t="e">
        <f>'3. Finansinės prielaidos'!G29+G224</f>
        <v>#VALUE!</v>
      </c>
      <c r="H225" s="62" t="e">
        <f>'3. Finansinės prielaidos'!H29+H224</f>
        <v>#VALUE!</v>
      </c>
      <c r="I225" s="62" t="e">
        <f>'3. Finansinės prielaidos'!I29+I224</f>
        <v>#VALUE!</v>
      </c>
      <c r="J225" s="62" t="e">
        <f>'3. Finansinės prielaidos'!J29+J224</f>
        <v>#VALUE!</v>
      </c>
      <c r="K225" s="62" t="e">
        <f>'3. Finansinės prielaidos'!K29+K224</f>
        <v>#VALUE!</v>
      </c>
      <c r="L225" s="62" t="e">
        <f>'3. Finansinės prielaidos'!L29+L224</f>
        <v>#VALUE!</v>
      </c>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row>
    <row r="226" spans="1:45">
      <c r="A226" s="57">
        <v>19</v>
      </c>
      <c r="B226" s="57" t="s">
        <v>159</v>
      </c>
      <c r="C226" s="62">
        <f>'3. Finansinės prielaidos'!C30+C223</f>
        <v>0</v>
      </c>
      <c r="D226" s="62">
        <f>'3. Finansinės prielaidos'!D30+D223</f>
        <v>0</v>
      </c>
      <c r="E226" s="62">
        <f>'3. Finansinės prielaidos'!E30+E223</f>
        <v>0</v>
      </c>
      <c r="F226" s="62">
        <f>'3. Finansinės prielaidos'!F30+F223</f>
        <v>0</v>
      </c>
      <c r="G226" s="62">
        <f>'3. Finansinės prielaidos'!G30+G223</f>
        <v>0</v>
      </c>
      <c r="H226" s="62">
        <f>'3. Finansinės prielaidos'!H30+H223</f>
        <v>0</v>
      </c>
      <c r="I226" s="62">
        <f>'3. Finansinės prielaidos'!I30+I223</f>
        <v>0</v>
      </c>
      <c r="J226" s="62">
        <f>'3. Finansinės prielaidos'!J30+J223</f>
        <v>0</v>
      </c>
      <c r="K226" s="62">
        <f>'3. Finansinės prielaidos'!K30+K223</f>
        <v>0</v>
      </c>
      <c r="L226" s="62">
        <f>'3. Finansinės prielaidos'!L30+L223</f>
        <v>0</v>
      </c>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row>
    <row r="227" spans="1:45">
      <c r="A227" s="57">
        <v>19</v>
      </c>
      <c r="B227" s="57" t="s">
        <v>160</v>
      </c>
      <c r="C227" s="62" t="e" cm="1">
        <f t="array" ref="C227">'3. Finansinės prielaidos'!C31+C224+C221+SUMPRODUCT('4. Metinis CAPEX'!F$9:F$27,IFERROR(('2. Investicijos'!$I$5:$I$23+'2. Investicijos'!$J$5:$J$23+'2. Investicijos'!$K$5:$K$23+'2. Investicijos'!$L$5:$L$23)/'2. Investicijos'!$H$5:$H$23,0))-C220-SUM(P$5:P$23)-C222-0</f>
        <v>#VALUE!</v>
      </c>
      <c r="D227" s="62" t="e" cm="1">
        <f t="array" ref="D227">C227+('3. Finansinės prielaidos'!D31-'3. Finansinės prielaidos'!C31)+D224+D221+SUMPRODUCT('4. Metinis CAPEX'!G$9:G$27,IFERROR(('2. Investicijos'!$I$5:$I$23+'2. Investicijos'!$J$5:$J$23+'2. Investicijos'!$K$5:$K$23+'2. Investicijos'!$L$5:$L$23)/'2. Investicijos'!$H$5:$H$23,0))-D220-SUM(Q$5:Q$23)-D222-MAX(0,-C227)*IFERROR(SUMPRODUCT('2. Investicijos'!$N$5:$N$23,'2. Investicijos'!$O$5:$O$23/100)/SUM('2. Investicijos'!$N$5:$N$23),0)</f>
        <v>#VALUE!</v>
      </c>
      <c r="E227" s="62" t="e" cm="1">
        <f t="array" ref="E227">D227+('3. Finansinės prielaidos'!E31-'3. Finansinės prielaidos'!D31)+E224+E221+SUMPRODUCT('4. Metinis CAPEX'!H$9:H$27,IFERROR(('2. Investicijos'!$I$5:$I$23+'2. Investicijos'!$J$5:$J$23+'2. Investicijos'!$K$5:$K$23+'2. Investicijos'!$L$5:$L$23)/'2. Investicijos'!$H$5:$H$23,0))-E220-SUM(R$5:R$23)-E222-MAX(0,-D227)*IFERROR(SUMPRODUCT('2. Investicijos'!$N$5:$N$23,'2. Investicijos'!$O$5:$O$23/100)/SUM('2. Investicijos'!$N$5:$N$23),0)</f>
        <v>#VALUE!</v>
      </c>
      <c r="F227" s="62" t="e" cm="1">
        <f t="array" ref="F227">E227+('3. Finansinės prielaidos'!F31-'3. Finansinės prielaidos'!E31)+F224+F221+SUMPRODUCT('4. Metinis CAPEX'!I$9:I$27,IFERROR(('2. Investicijos'!$I$5:$I$23+'2. Investicijos'!$J$5:$J$23+'2. Investicijos'!$K$5:$K$23+'2. Investicijos'!$L$5:$L$23)/'2. Investicijos'!$H$5:$H$23,0))-F220-SUM(S$5:S$23)-F222-MAX(0,-E227)*IFERROR(SUMPRODUCT('2. Investicijos'!$N$5:$N$23,'2. Investicijos'!$O$5:$O$23/100)/SUM('2. Investicijos'!$N$5:$N$23),0)</f>
        <v>#VALUE!</v>
      </c>
      <c r="G227" s="62" t="e" cm="1">
        <f t="array" ref="G227">F227+('3. Finansinės prielaidos'!G31-'3. Finansinės prielaidos'!F31)+G224+G221+SUMPRODUCT('4. Metinis CAPEX'!J$9:J$27,IFERROR(('2. Investicijos'!$I$5:$I$23+'2. Investicijos'!$J$5:$J$23+'2. Investicijos'!$K$5:$K$23+'2. Investicijos'!$L$5:$L$23)/'2. Investicijos'!$H$5:$H$23,0))-G220-SUM(T$5:T$23)-G222-MAX(0,-F227)*IFERROR(SUMPRODUCT('2. Investicijos'!$N$5:$N$23,'2. Investicijos'!$O$5:$O$23/100)/SUM('2. Investicijos'!$N$5:$N$23),0)</f>
        <v>#VALUE!</v>
      </c>
      <c r="H227" s="62" t="e" cm="1">
        <f t="array" ref="H227">G227+('3. Finansinės prielaidos'!H31-'3. Finansinės prielaidos'!G31)+H224+H221+SUMPRODUCT('4. Metinis CAPEX'!K$9:K$27,IFERROR(('2. Investicijos'!$I$5:$I$23+'2. Investicijos'!$J$5:$J$23+'2. Investicijos'!$K$5:$K$23+'2. Investicijos'!$L$5:$L$23)/'2. Investicijos'!$H$5:$H$23,0))-H220-SUM(U$5:U$23)-H222-MAX(0,-G227)*IFERROR(SUMPRODUCT('2. Investicijos'!$N$5:$N$23,'2. Investicijos'!$O$5:$O$23/100)/SUM('2. Investicijos'!$N$5:$N$23),0)</f>
        <v>#VALUE!</v>
      </c>
      <c r="I227" s="62" t="e" cm="1">
        <f t="array" ref="I227">H227+('3. Finansinės prielaidos'!I31-'3. Finansinės prielaidos'!H31)+I224+I221+SUMPRODUCT('4. Metinis CAPEX'!L$9:L$27,IFERROR(('2. Investicijos'!$I$5:$I$23+'2. Investicijos'!$J$5:$J$23+'2. Investicijos'!$K$5:$K$23+'2. Investicijos'!$L$5:$L$23)/'2. Investicijos'!$H$5:$H$23,0))-I220-SUM(V$5:V$23)-I222-MAX(0,-H227)*IFERROR(SUMPRODUCT('2. Investicijos'!$N$5:$N$23,'2. Investicijos'!$O$5:$O$23/100)/SUM('2. Investicijos'!$N$5:$N$23),0)</f>
        <v>#VALUE!</v>
      </c>
      <c r="J227" s="62" t="e" cm="1">
        <f t="array" ref="J227">I227+('3. Finansinės prielaidos'!J31-'3. Finansinės prielaidos'!I31)+J224+J221+SUMPRODUCT('4. Metinis CAPEX'!M$9:M$27,IFERROR(('2. Investicijos'!$I$5:$I$23+'2. Investicijos'!$J$5:$J$23+'2. Investicijos'!$K$5:$K$23+'2. Investicijos'!$L$5:$L$23)/'2. Investicijos'!$H$5:$H$23,0))-J220-SUM(W$5:W$23)-J222-MAX(0,-I227)*IFERROR(SUMPRODUCT('2. Investicijos'!$N$5:$N$23,'2. Investicijos'!$O$5:$O$23/100)/SUM('2. Investicijos'!$N$5:$N$23),0)</f>
        <v>#VALUE!</v>
      </c>
      <c r="K227" s="62" t="e" cm="1">
        <f t="array" ref="K227">J227+('3. Finansinės prielaidos'!K31-'3. Finansinės prielaidos'!J31)+K224+K221+SUMPRODUCT('4. Metinis CAPEX'!N$9:N$27,IFERROR(('2. Investicijos'!$I$5:$I$23+'2. Investicijos'!$J$5:$J$23+'2. Investicijos'!$K$5:$K$23+'2. Investicijos'!$L$5:$L$23)/'2. Investicijos'!$H$5:$H$23,0))-K220-SUM(X$5:X$23)-K222-MAX(0,-J227)*IFERROR(SUMPRODUCT('2. Investicijos'!$N$5:$N$23,'2. Investicijos'!$O$5:$O$23/100)/SUM('2. Investicijos'!$N$5:$N$23),0)</f>
        <v>#VALUE!</v>
      </c>
      <c r="L227" s="62" t="e" cm="1">
        <f t="array" ref="L227">K227+('3. Finansinės prielaidos'!L31-'3. Finansinės prielaidos'!K31)+L224+L221+SUMPRODUCT('4. Metinis CAPEX'!O$9:O$27,IFERROR(('2. Investicijos'!$I$5:$I$23+'2. Investicijos'!$J$5:$J$23+'2. Investicijos'!$K$5:$K$23+'2. Investicijos'!$L$5:$L$23)/'2. Investicijos'!$H$5:$H$23,0))-L220-SUM(Y$5:Y$23)-L222-MAX(0,-K227)*IFERROR(SUMPRODUCT('2. Investicijos'!$N$5:$N$23,'2. Investicijos'!$O$5:$O$23/100)/SUM('2. Investicijos'!$N$5:$N$23),0)</f>
        <v>#VALUE!</v>
      </c>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row>
    <row r="228" spans="1:45">
      <c r="A228" s="57">
        <v>19</v>
      </c>
      <c r="B228" s="57" t="s">
        <v>23</v>
      </c>
      <c r="C228" s="62" t="e">
        <f t="shared" ref="C228:L228" si="115">IF(OR(C225="",C226="",C227="",C225&lt;=0),"",(C226-C227)/C225)</f>
        <v>#VALUE!</v>
      </c>
      <c r="D228" s="62" t="e">
        <f t="shared" si="115"/>
        <v>#VALUE!</v>
      </c>
      <c r="E228" s="62" t="e">
        <f t="shared" si="115"/>
        <v>#VALUE!</v>
      </c>
      <c r="F228" s="62" t="e">
        <f t="shared" si="115"/>
        <v>#VALUE!</v>
      </c>
      <c r="G228" s="62" t="e">
        <f t="shared" si="115"/>
        <v>#VALUE!</v>
      </c>
      <c r="H228" s="62" t="e">
        <f t="shared" si="115"/>
        <v>#VALUE!</v>
      </c>
      <c r="I228" s="62" t="e">
        <f t="shared" si="115"/>
        <v>#VALUE!</v>
      </c>
      <c r="J228" s="62" t="e">
        <f t="shared" si="115"/>
        <v>#VALUE!</v>
      </c>
      <c r="K228" s="62" t="e">
        <f t="shared" si="115"/>
        <v>#VALUE!</v>
      </c>
      <c r="L228" s="62" t="e">
        <f t="shared" si="115"/>
        <v>#VALUE!</v>
      </c>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row>
    <row r="229" spans="1:45">
      <c r="A229" s="57">
        <v>19</v>
      </c>
      <c r="B229" s="57" t="s">
        <v>24</v>
      </c>
      <c r="C229" s="62" t="e">
        <f>IF(OR(C225="",C225&lt;=0,'3. Finansinės prielaidos'!C32=""),"",IF('3. Finansinės prielaidos'!C32+SUM(P$5:P$23)+C222+0=0,999999,C225/('3. Finansinės prielaidos'!C32+SUM(P$5:P$23)+C222+0)))</f>
        <v>#VALUE!</v>
      </c>
      <c r="D229" s="62" t="e" cm="1">
        <f t="array" ref="D229">IF(OR(D225="",D225&lt;=0,'3. Finansinės prielaidos'!D32=""),"",IF('3. Finansinės prielaidos'!D32+SUM(Q$5:Q$23)+D222+MAX(0,-C227)*IFERROR(SUMPRODUCT('2. Investicijos'!$N$5:$N$23,'2. Investicijos'!$O$5:$O$23/100)/SUM('2. Investicijos'!$N$5:$N$23),0)=0,999999,D225/('3. Finansinės prielaidos'!D32+SUM(Q$5:Q$23)+D222+MAX(0,-C227)*IFERROR(SUMPRODUCT('2. Investicijos'!$N$5:$N$23,'2. Investicijos'!$O$5:$O$23/100)/SUM('2. Investicijos'!$N$5:$N$23),0))))</f>
        <v>#VALUE!</v>
      </c>
      <c r="E229" s="62" t="e" cm="1">
        <f t="array" ref="E229">IF(OR(E225="",E225&lt;=0,'3. Finansinės prielaidos'!E32=""),"",IF('3. Finansinės prielaidos'!E32+SUM(R$5:R$23)+E222+MAX(0,-D227)*IFERROR(SUMPRODUCT('2. Investicijos'!$N$5:$N$23,'2. Investicijos'!$O$5:$O$23/100)/SUM('2. Investicijos'!$N$5:$N$23),0)=0,999999,E225/('3. Finansinės prielaidos'!E32+SUM(R$5:R$23)+E222+MAX(0,-D227)*IFERROR(SUMPRODUCT('2. Investicijos'!$N$5:$N$23,'2. Investicijos'!$O$5:$O$23/100)/SUM('2. Investicijos'!$N$5:$N$23),0))))</f>
        <v>#VALUE!</v>
      </c>
      <c r="F229" s="62" t="e" cm="1">
        <f t="array" ref="F229">IF(OR(F225="",F225&lt;=0,'3. Finansinės prielaidos'!F32=""),"",IF('3. Finansinės prielaidos'!F32+SUM(S$5:S$23)+F222+MAX(0,-E227)*IFERROR(SUMPRODUCT('2. Investicijos'!$N$5:$N$23,'2. Investicijos'!$O$5:$O$23/100)/SUM('2. Investicijos'!$N$5:$N$23),0)=0,999999,F225/('3. Finansinės prielaidos'!F32+SUM(S$5:S$23)+F222+MAX(0,-E227)*IFERROR(SUMPRODUCT('2. Investicijos'!$N$5:$N$23,'2. Investicijos'!$O$5:$O$23/100)/SUM('2. Investicijos'!$N$5:$N$23),0))))</f>
        <v>#VALUE!</v>
      </c>
      <c r="G229" s="62" t="e" cm="1">
        <f t="array" ref="G229">IF(OR(G225="",G225&lt;=0,'3. Finansinės prielaidos'!G32=""),"",IF('3. Finansinės prielaidos'!G32+SUM(T$5:T$23)+G222+MAX(0,-F227)*IFERROR(SUMPRODUCT('2. Investicijos'!$N$5:$N$23,'2. Investicijos'!$O$5:$O$23/100)/SUM('2. Investicijos'!$N$5:$N$23),0)=0,999999,G225/('3. Finansinės prielaidos'!G32+SUM(T$5:T$23)+G222+MAX(0,-F227)*IFERROR(SUMPRODUCT('2. Investicijos'!$N$5:$N$23,'2. Investicijos'!$O$5:$O$23/100)/SUM('2. Investicijos'!$N$5:$N$23),0))))</f>
        <v>#VALUE!</v>
      </c>
      <c r="H229" s="62" t="e" cm="1">
        <f t="array" ref="H229">IF(OR(H225="",H225&lt;=0,'3. Finansinės prielaidos'!H32=""),"",IF('3. Finansinės prielaidos'!H32+SUM(U$5:U$23)+H222+MAX(0,-G227)*IFERROR(SUMPRODUCT('2. Investicijos'!$N$5:$N$23,'2. Investicijos'!$O$5:$O$23/100)/SUM('2. Investicijos'!$N$5:$N$23),0)=0,999999,H225/('3. Finansinės prielaidos'!H32+SUM(U$5:U$23)+H222+MAX(0,-G227)*IFERROR(SUMPRODUCT('2. Investicijos'!$N$5:$N$23,'2. Investicijos'!$O$5:$O$23/100)/SUM('2. Investicijos'!$N$5:$N$23),0))))</f>
        <v>#VALUE!</v>
      </c>
      <c r="I229" s="62" t="e" cm="1">
        <f t="array" ref="I229">IF(OR(I225="",I225&lt;=0,'3. Finansinės prielaidos'!I32=""),"",IF('3. Finansinės prielaidos'!I32+SUM(V$5:V$23)+I222+MAX(0,-H227)*IFERROR(SUMPRODUCT('2. Investicijos'!$N$5:$N$23,'2. Investicijos'!$O$5:$O$23/100)/SUM('2. Investicijos'!$N$5:$N$23),0)=0,999999,I225/('3. Finansinės prielaidos'!I32+SUM(V$5:V$23)+I222+MAX(0,-H227)*IFERROR(SUMPRODUCT('2. Investicijos'!$N$5:$N$23,'2. Investicijos'!$O$5:$O$23/100)/SUM('2. Investicijos'!$N$5:$N$23),0))))</f>
        <v>#VALUE!</v>
      </c>
      <c r="J229" s="62" t="e" cm="1">
        <f t="array" ref="J229">IF(OR(J225="",J225&lt;=0,'3. Finansinės prielaidos'!J32=""),"",IF('3. Finansinės prielaidos'!J32+SUM(W$5:W$23)+J222+MAX(0,-I227)*IFERROR(SUMPRODUCT('2. Investicijos'!$N$5:$N$23,'2. Investicijos'!$O$5:$O$23/100)/SUM('2. Investicijos'!$N$5:$N$23),0)=0,999999,J225/('3. Finansinės prielaidos'!J32+SUM(W$5:W$23)+J222+MAX(0,-I227)*IFERROR(SUMPRODUCT('2. Investicijos'!$N$5:$N$23,'2. Investicijos'!$O$5:$O$23/100)/SUM('2. Investicijos'!$N$5:$N$23),0))))</f>
        <v>#VALUE!</v>
      </c>
      <c r="K229" s="62" t="e" cm="1">
        <f t="array" ref="K229">IF(OR(K225="",K225&lt;=0,'3. Finansinės prielaidos'!K32=""),"",IF('3. Finansinės prielaidos'!K32+SUM(X$5:X$23)+K222+MAX(0,-J227)*IFERROR(SUMPRODUCT('2. Investicijos'!$N$5:$N$23,'2. Investicijos'!$O$5:$O$23/100)/SUM('2. Investicijos'!$N$5:$N$23),0)=0,999999,K225/('3. Finansinės prielaidos'!K32+SUM(X$5:X$23)+K222+MAX(0,-J227)*IFERROR(SUMPRODUCT('2. Investicijos'!$N$5:$N$23,'2. Investicijos'!$O$5:$O$23/100)/SUM('2. Investicijos'!$N$5:$N$23),0))))</f>
        <v>#VALUE!</v>
      </c>
      <c r="L229" s="62" t="e" cm="1">
        <f t="array" ref="L229">IF(OR(L225="",L225&lt;=0,'3. Finansinės prielaidos'!L32=""),"",IF('3. Finansinės prielaidos'!L32+SUM(Y$5:Y$23)+L222+MAX(0,-K227)*IFERROR(SUMPRODUCT('2. Investicijos'!$N$5:$N$23,'2. Investicijos'!$O$5:$O$23/100)/SUM('2. Investicijos'!$N$5:$N$23),0)=0,999999,L225/('3. Finansinės prielaidos'!L32+SUM(Y$5:Y$23)+L222+MAX(0,-K227)*IFERROR(SUMPRODUCT('2. Investicijos'!$N$5:$N$23,'2. Investicijos'!$O$5:$O$23/100)/SUM('2. Investicijos'!$N$5:$N$23),0))))</f>
        <v>#VALUE!</v>
      </c>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row>
    <row r="230" spans="1:45">
      <c r="A230" s="57">
        <v>20</v>
      </c>
      <c r="B230" s="57" t="s">
        <v>58</v>
      </c>
      <c r="C230" s="62">
        <f>SUM('4. Metinis CAPEX'!F$9:F$28)</f>
        <v>0</v>
      </c>
      <c r="D230" s="62">
        <f>SUM('4. Metinis CAPEX'!G$9:G$28)</f>
        <v>0</v>
      </c>
      <c r="E230" s="62">
        <f>SUM('4. Metinis CAPEX'!H$9:H$28)</f>
        <v>0</v>
      </c>
      <c r="F230" s="62">
        <f>SUM('4. Metinis CAPEX'!I$9:I$28)</f>
        <v>0</v>
      </c>
      <c r="G230" s="62">
        <f>SUM('4. Metinis CAPEX'!J$9:J$28)</f>
        <v>0</v>
      </c>
      <c r="H230" s="62">
        <f>SUM('4. Metinis CAPEX'!K$9:K$28)</f>
        <v>0</v>
      </c>
      <c r="I230" s="62">
        <f>SUM('4. Metinis CAPEX'!L$9:L$28)</f>
        <v>0</v>
      </c>
      <c r="J230" s="62">
        <f>SUM('4. Metinis CAPEX'!M$9:M$28)</f>
        <v>0</v>
      </c>
      <c r="K230" s="62">
        <f>SUM('4. Metinis CAPEX'!N$9:N$28)</f>
        <v>0</v>
      </c>
      <c r="L230" s="62">
        <f>SUM('4. Metinis CAPEX'!O$9:O$28)</f>
        <v>0</v>
      </c>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row>
    <row r="231" spans="1:45">
      <c r="A231" s="57">
        <v>20</v>
      </c>
      <c r="B231" s="57" t="s">
        <v>59</v>
      </c>
      <c r="C231" s="62">
        <f t="shared" ref="C231:L231" si="116">SUM(F$5:F$24)</f>
        <v>0</v>
      </c>
      <c r="D231" s="62">
        <f t="shared" si="116"/>
        <v>0</v>
      </c>
      <c r="E231" s="62">
        <f t="shared" si="116"/>
        <v>0</v>
      </c>
      <c r="F231" s="62">
        <f t="shared" si="116"/>
        <v>0</v>
      </c>
      <c r="G231" s="62">
        <f t="shared" si="116"/>
        <v>0</v>
      </c>
      <c r="H231" s="62">
        <f t="shared" si="116"/>
        <v>0</v>
      </c>
      <c r="I231" s="62">
        <f t="shared" si="116"/>
        <v>0</v>
      </c>
      <c r="J231" s="62">
        <f t="shared" si="116"/>
        <v>0</v>
      </c>
      <c r="K231" s="62">
        <f t="shared" si="116"/>
        <v>0</v>
      </c>
      <c r="L231" s="62">
        <f t="shared" si="116"/>
        <v>0</v>
      </c>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row>
    <row r="232" spans="1:45">
      <c r="A232" s="57">
        <v>20</v>
      </c>
      <c r="B232" s="57" t="s">
        <v>60</v>
      </c>
      <c r="C232" s="62">
        <f t="shared" ref="C232:L232" si="117">SUM(Z$5:Z$24)</f>
        <v>0</v>
      </c>
      <c r="D232" s="62">
        <f t="shared" si="117"/>
        <v>0</v>
      </c>
      <c r="E232" s="62">
        <f t="shared" si="117"/>
        <v>0</v>
      </c>
      <c r="F232" s="62">
        <f t="shared" si="117"/>
        <v>0</v>
      </c>
      <c r="G232" s="62">
        <f t="shared" si="117"/>
        <v>0</v>
      </c>
      <c r="H232" s="62">
        <f t="shared" si="117"/>
        <v>0</v>
      </c>
      <c r="I232" s="62">
        <f t="shared" si="117"/>
        <v>0</v>
      </c>
      <c r="J232" s="62">
        <f t="shared" si="117"/>
        <v>0</v>
      </c>
      <c r="K232" s="62">
        <f t="shared" si="117"/>
        <v>0</v>
      </c>
      <c r="L232" s="62">
        <f t="shared" si="117"/>
        <v>0</v>
      </c>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row>
    <row r="233" spans="1:45">
      <c r="A233" s="57">
        <v>20</v>
      </c>
      <c r="B233" s="57" t="s">
        <v>61</v>
      </c>
      <c r="C233" s="62">
        <f t="shared" ref="C233:L233" si="118">SUM(AJ$5:AJ$24)</f>
        <v>0</v>
      </c>
      <c r="D233" s="62">
        <f t="shared" si="118"/>
        <v>0</v>
      </c>
      <c r="E233" s="62">
        <f t="shared" si="118"/>
        <v>0</v>
      </c>
      <c r="F233" s="62">
        <f t="shared" si="118"/>
        <v>0</v>
      </c>
      <c r="G233" s="62">
        <f t="shared" si="118"/>
        <v>0</v>
      </c>
      <c r="H233" s="62">
        <f t="shared" si="118"/>
        <v>0</v>
      </c>
      <c r="I233" s="62">
        <f t="shared" si="118"/>
        <v>0</v>
      </c>
      <c r="J233" s="62">
        <f t="shared" si="118"/>
        <v>0</v>
      </c>
      <c r="K233" s="62">
        <f t="shared" si="118"/>
        <v>0</v>
      </c>
      <c r="L233" s="62">
        <f t="shared" si="118"/>
        <v>0</v>
      </c>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row>
    <row r="234" spans="1:45">
      <c r="A234" s="57">
        <v>20</v>
      </c>
      <c r="B234" s="57" t="s">
        <v>155</v>
      </c>
      <c r="C234" s="62" t="e" cm="1">
        <f t="array" ref="C234">SUMPRODUCT(--(2026&gt;'2. Investicijos'!$F$5:$F$24),--(2026&lt;='2. Investicijos'!$F$5:$F$24+'2. Investicijos'!$G$5:$G$24),IFERROR(('2. Investicijos'!$M$5:$M$24+'2. Investicijos'!$N$5:$N$24)/'2. Investicijos'!$G$5:$G$24,0))+SUMPRODUCT(--(2026&gt;'2. Investicijos'!$F$5:$F$24),--(2026&lt;='2. Investicijos'!$F$5:$F$24+'2. Investicijos'!$G$5:$G$24),IFERROR(('2. Investicijos'!$M$5:$M$24+'2. Investicijos'!$N$5:$N$24)*(1-((2026-'2. Investicijos'!$F$5:$F$24)-1)/'2. Investicijos'!$G$5:$G$24),0)*'5. 0% scenarijus'!$C$5)</f>
        <v>#VALUE!</v>
      </c>
      <c r="D234" s="62" t="e" cm="1">
        <f t="array" ref="D234">SUMPRODUCT(--(2027&gt;'2. Investicijos'!$F$5:$F$24),--(2027&lt;='2. Investicijos'!$F$5:$F$24+'2. Investicijos'!$G$5:$G$24),IFERROR(('2. Investicijos'!$M$5:$M$24+'2. Investicijos'!$N$5:$N$24)/'2. Investicijos'!$G$5:$G$24,0))+SUMPRODUCT(--(2027&gt;'2. Investicijos'!$F$5:$F$24),--(2027&lt;='2. Investicijos'!$F$5:$F$24+'2. Investicijos'!$G$5:$G$24),IFERROR(('2. Investicijos'!$M$5:$M$24+'2. Investicijos'!$N$5:$N$24)*(1-((2027-'2. Investicijos'!$F$5:$F$24)-1)/'2. Investicijos'!$G$5:$G$24),0)*'5. 0% scenarijus'!$C$5)</f>
        <v>#VALUE!</v>
      </c>
      <c r="E234" s="62" t="e" cm="1">
        <f t="array" ref="E234">SUMPRODUCT(--(2028&gt;'2. Investicijos'!$F$5:$F$24),--(2028&lt;='2. Investicijos'!$F$5:$F$24+'2. Investicijos'!$G$5:$G$24),IFERROR(('2. Investicijos'!$M$5:$M$24+'2. Investicijos'!$N$5:$N$24)/'2. Investicijos'!$G$5:$G$24,0))+SUMPRODUCT(--(2028&gt;'2. Investicijos'!$F$5:$F$24),--(2028&lt;='2. Investicijos'!$F$5:$F$24+'2. Investicijos'!$G$5:$G$24),IFERROR(('2. Investicijos'!$M$5:$M$24+'2. Investicijos'!$N$5:$N$24)*(1-((2028-'2. Investicijos'!$F$5:$F$24)-1)/'2. Investicijos'!$G$5:$G$24),0)*'5. 0% scenarijus'!$C$5)</f>
        <v>#VALUE!</v>
      </c>
      <c r="F234" s="62" t="e" cm="1">
        <f t="array" ref="F234">SUMPRODUCT(--(2029&gt;'2. Investicijos'!$F$5:$F$24),--(2029&lt;='2. Investicijos'!$F$5:$F$24+'2. Investicijos'!$G$5:$G$24),IFERROR(('2. Investicijos'!$M$5:$M$24+'2. Investicijos'!$N$5:$N$24)/'2. Investicijos'!$G$5:$G$24,0))+SUMPRODUCT(--(2029&gt;'2. Investicijos'!$F$5:$F$24),--(2029&lt;='2. Investicijos'!$F$5:$F$24+'2. Investicijos'!$G$5:$G$24),IFERROR(('2. Investicijos'!$M$5:$M$24+'2. Investicijos'!$N$5:$N$24)*(1-((2029-'2. Investicijos'!$F$5:$F$24)-1)/'2. Investicijos'!$G$5:$G$24),0)*'5. 0% scenarijus'!$C$5)</f>
        <v>#VALUE!</v>
      </c>
      <c r="G234" s="62" t="e" cm="1">
        <f t="array" ref="G234">SUMPRODUCT(--(2030&gt;'2. Investicijos'!$F$5:$F$24),--(2030&lt;='2. Investicijos'!$F$5:$F$24+'2. Investicijos'!$G$5:$G$24),IFERROR(('2. Investicijos'!$M$5:$M$24+'2. Investicijos'!$N$5:$N$24)/'2. Investicijos'!$G$5:$G$24,0))+SUMPRODUCT(--(2030&gt;'2. Investicijos'!$F$5:$F$24),--(2030&lt;='2. Investicijos'!$F$5:$F$24+'2. Investicijos'!$G$5:$G$24),IFERROR(('2. Investicijos'!$M$5:$M$24+'2. Investicijos'!$N$5:$N$24)*(1-((2030-'2. Investicijos'!$F$5:$F$24)-1)/'2. Investicijos'!$G$5:$G$24),0)*'5. 0% scenarijus'!$C$5)</f>
        <v>#VALUE!</v>
      </c>
      <c r="H234" s="62" t="e" cm="1">
        <f t="array" ref="H234">SUMPRODUCT(--(2031&gt;'2. Investicijos'!$F$5:$F$24),--(2031&lt;='2. Investicijos'!$F$5:$F$24+'2. Investicijos'!$G$5:$G$24),IFERROR(('2. Investicijos'!$M$5:$M$24+'2. Investicijos'!$N$5:$N$24)/'2. Investicijos'!$G$5:$G$24,0))+SUMPRODUCT(--(2031&gt;'2. Investicijos'!$F$5:$F$24),--(2031&lt;='2. Investicijos'!$F$5:$F$24+'2. Investicijos'!$G$5:$G$24),IFERROR(('2. Investicijos'!$M$5:$M$24+'2. Investicijos'!$N$5:$N$24)*(1-((2031-'2. Investicijos'!$F$5:$F$24)-1)/'2. Investicijos'!$G$5:$G$24),0)*'5. 0% scenarijus'!$C$5)</f>
        <v>#VALUE!</v>
      </c>
      <c r="I234" s="62" t="e" cm="1">
        <f t="array" ref="I234">SUMPRODUCT(--(2032&gt;'2. Investicijos'!$F$5:$F$24),--(2032&lt;='2. Investicijos'!$F$5:$F$24+'2. Investicijos'!$G$5:$G$24),IFERROR(('2. Investicijos'!$M$5:$M$24+'2. Investicijos'!$N$5:$N$24)/'2. Investicijos'!$G$5:$G$24,0))+SUMPRODUCT(--(2032&gt;'2. Investicijos'!$F$5:$F$24),--(2032&lt;='2. Investicijos'!$F$5:$F$24+'2. Investicijos'!$G$5:$G$24),IFERROR(('2. Investicijos'!$M$5:$M$24+'2. Investicijos'!$N$5:$N$24)*(1-((2032-'2. Investicijos'!$F$5:$F$24)-1)/'2. Investicijos'!$G$5:$G$24),0)*'5. 0% scenarijus'!$C$5)</f>
        <v>#VALUE!</v>
      </c>
      <c r="J234" s="62" t="e" cm="1">
        <f t="array" ref="J234">SUMPRODUCT(--(2033&gt;'2. Investicijos'!$F$5:$F$24),--(2033&lt;='2. Investicijos'!$F$5:$F$24+'2. Investicijos'!$G$5:$G$24),IFERROR(('2. Investicijos'!$M$5:$M$24+'2. Investicijos'!$N$5:$N$24)/'2. Investicijos'!$G$5:$G$24,0))+SUMPRODUCT(--(2033&gt;'2. Investicijos'!$F$5:$F$24),--(2033&lt;='2. Investicijos'!$F$5:$F$24+'2. Investicijos'!$G$5:$G$24),IFERROR(('2. Investicijos'!$M$5:$M$24+'2. Investicijos'!$N$5:$N$24)*(1-((2033-'2. Investicijos'!$F$5:$F$24)-1)/'2. Investicijos'!$G$5:$G$24),0)*'5. 0% scenarijus'!$C$5)</f>
        <v>#VALUE!</v>
      </c>
      <c r="K234" s="62" t="e" cm="1">
        <f t="array" ref="K234">SUMPRODUCT(--(2034&gt;'2. Investicijos'!$F$5:$F$24),--(2034&lt;='2. Investicijos'!$F$5:$F$24+'2. Investicijos'!$G$5:$G$24),IFERROR(('2. Investicijos'!$M$5:$M$24+'2. Investicijos'!$N$5:$N$24)/'2. Investicijos'!$G$5:$G$24,0))+SUMPRODUCT(--(2034&gt;'2. Investicijos'!$F$5:$F$24),--(2034&lt;='2. Investicijos'!$F$5:$F$24+'2. Investicijos'!$G$5:$G$24),IFERROR(('2. Investicijos'!$M$5:$M$24+'2. Investicijos'!$N$5:$N$24)*(1-((2034-'2. Investicijos'!$F$5:$F$24)-1)/'2. Investicijos'!$G$5:$G$24),0)*'5. 0% scenarijus'!$C$5)</f>
        <v>#VALUE!</v>
      </c>
      <c r="L234" s="62" t="e" cm="1">
        <f t="array" ref="L234">SUMPRODUCT(--(2035&gt;'2. Investicijos'!$F$5:$F$24),--(2035&lt;='2. Investicijos'!$F$5:$F$24+'2. Investicijos'!$G$5:$G$24),IFERROR(('2. Investicijos'!$M$5:$M$24+'2. Investicijos'!$N$5:$N$24)/'2. Investicijos'!$G$5:$G$24,0))+SUMPRODUCT(--(2035&gt;'2. Investicijos'!$F$5:$F$24),--(2035&lt;='2. Investicijos'!$F$5:$F$24+'2. Investicijos'!$G$5:$G$24),IFERROR(('2. Investicijos'!$M$5:$M$24+'2. Investicijos'!$N$5:$N$24)*(1-((2035-'2. Investicijos'!$F$5:$F$24)-1)/'2. Investicijos'!$G$5:$G$24),0)*'5. 0% scenarijus'!$C$5)</f>
        <v>#VALUE!</v>
      </c>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row>
    <row r="235" spans="1:45">
      <c r="A235" s="57">
        <v>20</v>
      </c>
      <c r="B235" s="57" t="s">
        <v>62</v>
      </c>
      <c r="C235" s="62" t="e">
        <f>'3. Finansinės prielaidos'!C29+C234</f>
        <v>#VALUE!</v>
      </c>
      <c r="D235" s="62" t="e">
        <f>'3. Finansinės prielaidos'!D29+D234</f>
        <v>#VALUE!</v>
      </c>
      <c r="E235" s="62" t="e">
        <f>'3. Finansinės prielaidos'!E29+E234</f>
        <v>#VALUE!</v>
      </c>
      <c r="F235" s="62" t="e">
        <f>'3. Finansinės prielaidos'!F29+F234</f>
        <v>#VALUE!</v>
      </c>
      <c r="G235" s="62" t="e">
        <f>'3. Finansinės prielaidos'!G29+G234</f>
        <v>#VALUE!</v>
      </c>
      <c r="H235" s="62" t="e">
        <f>'3. Finansinės prielaidos'!H29+H234</f>
        <v>#VALUE!</v>
      </c>
      <c r="I235" s="62" t="e">
        <f>'3. Finansinės prielaidos'!I29+I234</f>
        <v>#VALUE!</v>
      </c>
      <c r="J235" s="62" t="e">
        <f>'3. Finansinės prielaidos'!J29+J234</f>
        <v>#VALUE!</v>
      </c>
      <c r="K235" s="62" t="e">
        <f>'3. Finansinės prielaidos'!K29+K234</f>
        <v>#VALUE!</v>
      </c>
      <c r="L235" s="62" t="e">
        <f>'3. Finansinės prielaidos'!L29+L234</f>
        <v>#VALUE!</v>
      </c>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row>
    <row r="236" spans="1:45">
      <c r="A236" s="57">
        <v>20</v>
      </c>
      <c r="B236" s="57" t="s">
        <v>159</v>
      </c>
      <c r="C236" s="62">
        <f>'3. Finansinės prielaidos'!C30+C233</f>
        <v>0</v>
      </c>
      <c r="D236" s="62">
        <f>'3. Finansinės prielaidos'!D30+D233</f>
        <v>0</v>
      </c>
      <c r="E236" s="62">
        <f>'3. Finansinės prielaidos'!E30+E233</f>
        <v>0</v>
      </c>
      <c r="F236" s="62">
        <f>'3. Finansinės prielaidos'!F30+F233</f>
        <v>0</v>
      </c>
      <c r="G236" s="62">
        <f>'3. Finansinės prielaidos'!G30+G233</f>
        <v>0</v>
      </c>
      <c r="H236" s="62">
        <f>'3. Finansinės prielaidos'!H30+H233</f>
        <v>0</v>
      </c>
      <c r="I236" s="62">
        <f>'3. Finansinės prielaidos'!I30+I233</f>
        <v>0</v>
      </c>
      <c r="J236" s="62">
        <f>'3. Finansinės prielaidos'!J30+J233</f>
        <v>0</v>
      </c>
      <c r="K236" s="62">
        <f>'3. Finansinės prielaidos'!K30+K233</f>
        <v>0</v>
      </c>
      <c r="L236" s="62">
        <f>'3. Finansinės prielaidos'!L30+L233</f>
        <v>0</v>
      </c>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row>
    <row r="237" spans="1:45">
      <c r="A237" s="57">
        <v>20</v>
      </c>
      <c r="B237" s="57" t="s">
        <v>160</v>
      </c>
      <c r="C237" s="62" t="e" cm="1">
        <f t="array" ref="C237">'3. Finansinės prielaidos'!C31+C234+C231+SUMPRODUCT('4. Metinis CAPEX'!F$9:F$28,IFERROR(('2. Investicijos'!$I$5:$I$24+'2. Investicijos'!$J$5:$J$24+'2. Investicijos'!$K$5:$K$24+'2. Investicijos'!$L$5:$L$24)/'2. Investicijos'!$H$5:$H$24,0))-C230-SUM(P$5:P$24)-C232-0</f>
        <v>#VALUE!</v>
      </c>
      <c r="D237" s="62" t="e" cm="1">
        <f t="array" ref="D237">C237+('3. Finansinės prielaidos'!D31-'3. Finansinės prielaidos'!C31)+D234+D231+SUMPRODUCT('4. Metinis CAPEX'!G$9:G$28,IFERROR(('2. Investicijos'!$I$5:$I$24+'2. Investicijos'!$J$5:$J$24+'2. Investicijos'!$K$5:$K$24+'2. Investicijos'!$L$5:$L$24)/'2. Investicijos'!$H$5:$H$24,0))-D230-SUM(Q$5:Q$24)-D232-MAX(0,-C237)*IFERROR(SUMPRODUCT('2. Investicijos'!$N$5:$N$24,'2. Investicijos'!$O$5:$O$24/100)/SUM('2. Investicijos'!$N$5:$N$24),0)</f>
        <v>#VALUE!</v>
      </c>
      <c r="E237" s="62" t="e" cm="1">
        <f t="array" ref="E237">D237+('3. Finansinės prielaidos'!E31-'3. Finansinės prielaidos'!D31)+E234+E231+SUMPRODUCT('4. Metinis CAPEX'!H$9:H$28,IFERROR(('2. Investicijos'!$I$5:$I$24+'2. Investicijos'!$J$5:$J$24+'2. Investicijos'!$K$5:$K$24+'2. Investicijos'!$L$5:$L$24)/'2. Investicijos'!$H$5:$H$24,0))-E230-SUM(R$5:R$24)-E232-MAX(0,-D237)*IFERROR(SUMPRODUCT('2. Investicijos'!$N$5:$N$24,'2. Investicijos'!$O$5:$O$24/100)/SUM('2. Investicijos'!$N$5:$N$24),0)</f>
        <v>#VALUE!</v>
      </c>
      <c r="F237" s="62" t="e" cm="1">
        <f t="array" ref="F237">E237+('3. Finansinės prielaidos'!F31-'3. Finansinės prielaidos'!E31)+F234+F231+SUMPRODUCT('4. Metinis CAPEX'!I$9:I$28,IFERROR(('2. Investicijos'!$I$5:$I$24+'2. Investicijos'!$J$5:$J$24+'2. Investicijos'!$K$5:$K$24+'2. Investicijos'!$L$5:$L$24)/'2. Investicijos'!$H$5:$H$24,0))-F230-SUM(S$5:S$24)-F232-MAX(0,-E237)*IFERROR(SUMPRODUCT('2. Investicijos'!$N$5:$N$24,'2. Investicijos'!$O$5:$O$24/100)/SUM('2. Investicijos'!$N$5:$N$24),0)</f>
        <v>#VALUE!</v>
      </c>
      <c r="G237" s="62" t="e" cm="1">
        <f t="array" ref="G237">F237+('3. Finansinės prielaidos'!G31-'3. Finansinės prielaidos'!F31)+G234+G231+SUMPRODUCT('4. Metinis CAPEX'!J$9:J$28,IFERROR(('2. Investicijos'!$I$5:$I$24+'2. Investicijos'!$J$5:$J$24+'2. Investicijos'!$K$5:$K$24+'2. Investicijos'!$L$5:$L$24)/'2. Investicijos'!$H$5:$H$24,0))-G230-SUM(T$5:T$24)-G232-MAX(0,-F237)*IFERROR(SUMPRODUCT('2. Investicijos'!$N$5:$N$24,'2. Investicijos'!$O$5:$O$24/100)/SUM('2. Investicijos'!$N$5:$N$24),0)</f>
        <v>#VALUE!</v>
      </c>
      <c r="H237" s="62" t="e" cm="1">
        <f t="array" ref="H237">G237+('3. Finansinės prielaidos'!H31-'3. Finansinės prielaidos'!G31)+H234+H231+SUMPRODUCT('4. Metinis CAPEX'!K$9:K$28,IFERROR(('2. Investicijos'!$I$5:$I$24+'2. Investicijos'!$J$5:$J$24+'2. Investicijos'!$K$5:$K$24+'2. Investicijos'!$L$5:$L$24)/'2. Investicijos'!$H$5:$H$24,0))-H230-SUM(U$5:U$24)-H232-MAX(0,-G237)*IFERROR(SUMPRODUCT('2. Investicijos'!$N$5:$N$24,'2. Investicijos'!$O$5:$O$24/100)/SUM('2. Investicijos'!$N$5:$N$24),0)</f>
        <v>#VALUE!</v>
      </c>
      <c r="I237" s="62" t="e" cm="1">
        <f t="array" ref="I237">H237+('3. Finansinės prielaidos'!I31-'3. Finansinės prielaidos'!H31)+I234+I231+SUMPRODUCT('4. Metinis CAPEX'!L$9:L$28,IFERROR(('2. Investicijos'!$I$5:$I$24+'2. Investicijos'!$J$5:$J$24+'2. Investicijos'!$K$5:$K$24+'2. Investicijos'!$L$5:$L$24)/'2. Investicijos'!$H$5:$H$24,0))-I230-SUM(V$5:V$24)-I232-MAX(0,-H237)*IFERROR(SUMPRODUCT('2. Investicijos'!$N$5:$N$24,'2. Investicijos'!$O$5:$O$24/100)/SUM('2. Investicijos'!$N$5:$N$24),0)</f>
        <v>#VALUE!</v>
      </c>
      <c r="J237" s="62" t="e" cm="1">
        <f t="array" ref="J237">I237+('3. Finansinės prielaidos'!J31-'3. Finansinės prielaidos'!I31)+J234+J231+SUMPRODUCT('4. Metinis CAPEX'!M$9:M$28,IFERROR(('2. Investicijos'!$I$5:$I$24+'2. Investicijos'!$J$5:$J$24+'2. Investicijos'!$K$5:$K$24+'2. Investicijos'!$L$5:$L$24)/'2. Investicijos'!$H$5:$H$24,0))-J230-SUM(W$5:W$24)-J232-MAX(0,-I237)*IFERROR(SUMPRODUCT('2. Investicijos'!$N$5:$N$24,'2. Investicijos'!$O$5:$O$24/100)/SUM('2. Investicijos'!$N$5:$N$24),0)</f>
        <v>#VALUE!</v>
      </c>
      <c r="K237" s="62" t="e" cm="1">
        <f t="array" ref="K237">J237+('3. Finansinės prielaidos'!K31-'3. Finansinės prielaidos'!J31)+K234+K231+SUMPRODUCT('4. Metinis CAPEX'!N$9:N$28,IFERROR(('2. Investicijos'!$I$5:$I$24+'2. Investicijos'!$J$5:$J$24+'2. Investicijos'!$K$5:$K$24+'2. Investicijos'!$L$5:$L$24)/'2. Investicijos'!$H$5:$H$24,0))-K230-SUM(X$5:X$24)-K232-MAX(0,-J237)*IFERROR(SUMPRODUCT('2. Investicijos'!$N$5:$N$24,'2. Investicijos'!$O$5:$O$24/100)/SUM('2. Investicijos'!$N$5:$N$24),0)</f>
        <v>#VALUE!</v>
      </c>
      <c r="L237" s="62" t="e" cm="1">
        <f t="array" ref="L237">K237+('3. Finansinės prielaidos'!L31-'3. Finansinės prielaidos'!K31)+L234+L231+SUMPRODUCT('4. Metinis CAPEX'!O$9:O$28,IFERROR(('2. Investicijos'!$I$5:$I$24+'2. Investicijos'!$J$5:$J$24+'2. Investicijos'!$K$5:$K$24+'2. Investicijos'!$L$5:$L$24)/'2. Investicijos'!$H$5:$H$24,0))-L230-SUM(Y$5:Y$24)-L232-MAX(0,-K237)*IFERROR(SUMPRODUCT('2. Investicijos'!$N$5:$N$24,'2. Investicijos'!$O$5:$O$24/100)/SUM('2. Investicijos'!$N$5:$N$24),0)</f>
        <v>#VALUE!</v>
      </c>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row>
    <row r="238" spans="1:45">
      <c r="A238" s="57">
        <v>20</v>
      </c>
      <c r="B238" s="57" t="s">
        <v>23</v>
      </c>
      <c r="C238" s="62" t="e">
        <f t="shared" ref="C238:L238" si="119">IF(OR(C235="",C236="",C237="",C235&lt;=0),"",(C236-C237)/C235)</f>
        <v>#VALUE!</v>
      </c>
      <c r="D238" s="62" t="e">
        <f t="shared" si="119"/>
        <v>#VALUE!</v>
      </c>
      <c r="E238" s="62" t="e">
        <f t="shared" si="119"/>
        <v>#VALUE!</v>
      </c>
      <c r="F238" s="62" t="e">
        <f t="shared" si="119"/>
        <v>#VALUE!</v>
      </c>
      <c r="G238" s="62" t="e">
        <f t="shared" si="119"/>
        <v>#VALUE!</v>
      </c>
      <c r="H238" s="62" t="e">
        <f t="shared" si="119"/>
        <v>#VALUE!</v>
      </c>
      <c r="I238" s="62" t="e">
        <f t="shared" si="119"/>
        <v>#VALUE!</v>
      </c>
      <c r="J238" s="62" t="e">
        <f t="shared" si="119"/>
        <v>#VALUE!</v>
      </c>
      <c r="K238" s="62" t="e">
        <f t="shared" si="119"/>
        <v>#VALUE!</v>
      </c>
      <c r="L238" s="62" t="e">
        <f t="shared" si="119"/>
        <v>#VALUE!</v>
      </c>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row>
    <row r="239" spans="1:45">
      <c r="A239" s="57">
        <v>20</v>
      </c>
      <c r="B239" s="57" t="s">
        <v>24</v>
      </c>
      <c r="C239" s="62" t="e">
        <f>IF(OR(C235="",C235&lt;=0,'3. Finansinės prielaidos'!C32=""),"",IF('3. Finansinės prielaidos'!C32+SUM(P$5:P$24)+C232+0=0,999999,C235/('3. Finansinės prielaidos'!C32+SUM(P$5:P$24)+C232+0)))</f>
        <v>#VALUE!</v>
      </c>
      <c r="D239" s="62" t="e" cm="1">
        <f t="array" ref="D239">IF(OR(D235="",D235&lt;=0,'3. Finansinės prielaidos'!D32=""),"",IF('3. Finansinės prielaidos'!D32+SUM(Q$5:Q$24)+D232+MAX(0,-C237)*IFERROR(SUMPRODUCT('2. Investicijos'!$N$5:$N$24,'2. Investicijos'!$O$5:$O$24/100)/SUM('2. Investicijos'!$N$5:$N$24),0)=0,999999,D235/('3. Finansinės prielaidos'!D32+SUM(Q$5:Q$24)+D232+MAX(0,-C237)*IFERROR(SUMPRODUCT('2. Investicijos'!$N$5:$N$24,'2. Investicijos'!$O$5:$O$24/100)/SUM('2. Investicijos'!$N$5:$N$24),0))))</f>
        <v>#VALUE!</v>
      </c>
      <c r="E239" s="62" t="e" cm="1">
        <f t="array" ref="E239">IF(OR(E235="",E235&lt;=0,'3. Finansinės prielaidos'!E32=""),"",IF('3. Finansinės prielaidos'!E32+SUM(R$5:R$24)+E232+MAX(0,-D237)*IFERROR(SUMPRODUCT('2. Investicijos'!$N$5:$N$24,'2. Investicijos'!$O$5:$O$24/100)/SUM('2. Investicijos'!$N$5:$N$24),0)=0,999999,E235/('3. Finansinės prielaidos'!E32+SUM(R$5:R$24)+E232+MAX(0,-D237)*IFERROR(SUMPRODUCT('2. Investicijos'!$N$5:$N$24,'2. Investicijos'!$O$5:$O$24/100)/SUM('2. Investicijos'!$N$5:$N$24),0))))</f>
        <v>#VALUE!</v>
      </c>
      <c r="F239" s="62" t="e" cm="1">
        <f t="array" ref="F239">IF(OR(F235="",F235&lt;=0,'3. Finansinės prielaidos'!F32=""),"",IF('3. Finansinės prielaidos'!F32+SUM(S$5:S$24)+F232+MAX(0,-E237)*IFERROR(SUMPRODUCT('2. Investicijos'!$N$5:$N$24,'2. Investicijos'!$O$5:$O$24/100)/SUM('2. Investicijos'!$N$5:$N$24),0)=0,999999,F235/('3. Finansinės prielaidos'!F32+SUM(S$5:S$24)+F232+MAX(0,-E237)*IFERROR(SUMPRODUCT('2. Investicijos'!$N$5:$N$24,'2. Investicijos'!$O$5:$O$24/100)/SUM('2. Investicijos'!$N$5:$N$24),0))))</f>
        <v>#VALUE!</v>
      </c>
      <c r="G239" s="62" t="e" cm="1">
        <f t="array" ref="G239">IF(OR(G235="",G235&lt;=0,'3. Finansinės prielaidos'!G32=""),"",IF('3. Finansinės prielaidos'!G32+SUM(T$5:T$24)+G232+MAX(0,-F237)*IFERROR(SUMPRODUCT('2. Investicijos'!$N$5:$N$24,'2. Investicijos'!$O$5:$O$24/100)/SUM('2. Investicijos'!$N$5:$N$24),0)=0,999999,G235/('3. Finansinės prielaidos'!G32+SUM(T$5:T$24)+G232+MAX(0,-F237)*IFERROR(SUMPRODUCT('2. Investicijos'!$N$5:$N$24,'2. Investicijos'!$O$5:$O$24/100)/SUM('2. Investicijos'!$N$5:$N$24),0))))</f>
        <v>#VALUE!</v>
      </c>
      <c r="H239" s="62" t="e" cm="1">
        <f t="array" ref="H239">IF(OR(H235="",H235&lt;=0,'3. Finansinės prielaidos'!H32=""),"",IF('3. Finansinės prielaidos'!H32+SUM(U$5:U$24)+H232+MAX(0,-G237)*IFERROR(SUMPRODUCT('2. Investicijos'!$N$5:$N$24,'2. Investicijos'!$O$5:$O$24/100)/SUM('2. Investicijos'!$N$5:$N$24),0)=0,999999,H235/('3. Finansinės prielaidos'!H32+SUM(U$5:U$24)+H232+MAX(0,-G237)*IFERROR(SUMPRODUCT('2. Investicijos'!$N$5:$N$24,'2. Investicijos'!$O$5:$O$24/100)/SUM('2. Investicijos'!$N$5:$N$24),0))))</f>
        <v>#VALUE!</v>
      </c>
      <c r="I239" s="62" t="e" cm="1">
        <f t="array" ref="I239">IF(OR(I235="",I235&lt;=0,'3. Finansinės prielaidos'!I32=""),"",IF('3. Finansinės prielaidos'!I32+SUM(V$5:V$24)+I232+MAX(0,-H237)*IFERROR(SUMPRODUCT('2. Investicijos'!$N$5:$N$24,'2. Investicijos'!$O$5:$O$24/100)/SUM('2. Investicijos'!$N$5:$N$24),0)=0,999999,I235/('3. Finansinės prielaidos'!I32+SUM(V$5:V$24)+I232+MAX(0,-H237)*IFERROR(SUMPRODUCT('2. Investicijos'!$N$5:$N$24,'2. Investicijos'!$O$5:$O$24/100)/SUM('2. Investicijos'!$N$5:$N$24),0))))</f>
        <v>#VALUE!</v>
      </c>
      <c r="J239" s="62" t="e" cm="1">
        <f t="array" ref="J239">IF(OR(J235="",J235&lt;=0,'3. Finansinės prielaidos'!J32=""),"",IF('3. Finansinės prielaidos'!J32+SUM(W$5:W$24)+J232+MAX(0,-I237)*IFERROR(SUMPRODUCT('2. Investicijos'!$N$5:$N$24,'2. Investicijos'!$O$5:$O$24/100)/SUM('2. Investicijos'!$N$5:$N$24),0)=0,999999,J235/('3. Finansinės prielaidos'!J32+SUM(W$5:W$24)+J232+MAX(0,-I237)*IFERROR(SUMPRODUCT('2. Investicijos'!$N$5:$N$24,'2. Investicijos'!$O$5:$O$24/100)/SUM('2. Investicijos'!$N$5:$N$24),0))))</f>
        <v>#VALUE!</v>
      </c>
      <c r="K239" s="62" t="e" cm="1">
        <f t="array" ref="K239">IF(OR(K235="",K235&lt;=0,'3. Finansinės prielaidos'!K32=""),"",IF('3. Finansinės prielaidos'!K32+SUM(X$5:X$24)+K232+MAX(0,-J237)*IFERROR(SUMPRODUCT('2. Investicijos'!$N$5:$N$24,'2. Investicijos'!$O$5:$O$24/100)/SUM('2. Investicijos'!$N$5:$N$24),0)=0,999999,K235/('3. Finansinės prielaidos'!K32+SUM(X$5:X$24)+K232+MAX(0,-J237)*IFERROR(SUMPRODUCT('2. Investicijos'!$N$5:$N$24,'2. Investicijos'!$O$5:$O$24/100)/SUM('2. Investicijos'!$N$5:$N$24),0))))</f>
        <v>#VALUE!</v>
      </c>
      <c r="L239" s="62" t="e" cm="1">
        <f t="array" ref="L239">IF(OR(L235="",L235&lt;=0,'3. Finansinės prielaidos'!L32=""),"",IF('3. Finansinės prielaidos'!L32+SUM(Y$5:Y$24)+L232+MAX(0,-K237)*IFERROR(SUMPRODUCT('2. Investicijos'!$N$5:$N$24,'2. Investicijos'!$O$5:$O$24/100)/SUM('2. Investicijos'!$N$5:$N$24),0)=0,999999,L235/('3. Finansinės prielaidos'!L32+SUM(Y$5:Y$24)+L232+MAX(0,-K237)*IFERROR(SUMPRODUCT('2. Investicijos'!$N$5:$N$24,'2. Investicijos'!$O$5:$O$24/100)/SUM('2. Investicijos'!$N$5:$N$24),0))))</f>
        <v>#VALUE!</v>
      </c>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row>
  </sheetData>
  <sheetProtection algorithmName="SHA-512" hashValue="D54JhcUtitswF2LnsAC1Q3b1D/yktFcElL3hszUk5l1dHmlyZZuCUUl34d6NIXhfmMCM3xv3bD3zcFjZqbxzFA==" saltValue="EwjZNFm/UqjSI8sTB671Mg==" spinCount="100000" sheet="1" objects="1" scenarios="1"/>
  <mergeCells count="8">
    <mergeCell ref="A25:B25"/>
    <mergeCell ref="A28:L28"/>
    <mergeCell ref="A1:AS1"/>
    <mergeCell ref="A2:AS2"/>
    <mergeCell ref="F3:O3"/>
    <mergeCell ref="P3:Y3"/>
    <mergeCell ref="Z3:AI3"/>
    <mergeCell ref="AJ3:AS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91"/>
  <sheetViews>
    <sheetView workbookViewId="0">
      <selection activeCell="C32" sqref="C32"/>
    </sheetView>
  </sheetViews>
  <sheetFormatPr defaultRowHeight="14"/>
  <cols>
    <col min="1" max="1" width="8.33203125" customWidth="1"/>
    <col min="2" max="2" width="50" customWidth="1"/>
    <col min="3" max="12" width="12.6640625" customWidth="1"/>
    <col min="13" max="20" width="14" customWidth="1"/>
    <col min="23" max="47" width="12" customWidth="1"/>
  </cols>
  <sheetData>
    <row r="1" spans="1:20" ht="19.5">
      <c r="A1" s="125" t="s">
        <v>63</v>
      </c>
      <c r="B1" s="125"/>
      <c r="C1" s="125"/>
      <c r="D1" s="125"/>
      <c r="E1" s="125"/>
      <c r="F1" s="125"/>
      <c r="G1" s="125"/>
      <c r="H1" s="125"/>
      <c r="I1" s="125"/>
      <c r="J1" s="125"/>
      <c r="K1" s="125"/>
      <c r="L1" s="125"/>
      <c r="M1" s="125"/>
      <c r="N1" s="125"/>
      <c r="O1" s="125"/>
      <c r="P1" s="125"/>
      <c r="Q1" s="125"/>
      <c r="R1" s="125"/>
      <c r="S1" s="125"/>
      <c r="T1" s="125"/>
    </row>
    <row r="2" spans="1:20">
      <c r="A2" s="139" t="str">
        <f>"Tikslas: parodyti investicijų portfelio poveikį įmonės finansinei būklei su maksimalia pagal Aprašo 11³.4 papunktį nustatyta investicijų dedamąja, jos surinkimu per 1 arba 2 metus, ir nustatyti pirmą investiciją, po kurios bent vienais "&amp;MIN(C7:L7)&amp;"–"&amp;MAX(C7:L7)&amp;" m. nebetenkinami Aprašo 11³.6 papunktyje nustatyti finansinio pajėgumo kriterijai."</f>
        <v>Tikslas: parodyti investicijų portfelio poveikį įmonės finansinei būklei su maksimalia pagal Aprašo 11³.4 papunktį nustatyta investicijų dedamąja, jos surinkimu per 1 arba 2 metus, ir nustatyti pirmą investiciją, po kurios bent vienais 2026–2035 m. nebetenkinami Aprašo 11³.6 papunktyje nustatyti finansinio pajėgumo kriterijai.</v>
      </c>
      <c r="B2" s="139"/>
      <c r="C2" s="139"/>
      <c r="D2" s="139"/>
      <c r="E2" s="139"/>
      <c r="F2" s="139"/>
      <c r="G2" s="139"/>
      <c r="H2" s="139"/>
      <c r="I2" s="139"/>
      <c r="J2" s="139"/>
      <c r="K2" s="139"/>
      <c r="L2" s="139"/>
      <c r="M2" s="139"/>
      <c r="N2" s="139"/>
      <c r="O2" s="139"/>
      <c r="P2" s="139"/>
      <c r="Q2" s="139"/>
      <c r="R2" s="139"/>
      <c r="S2" s="139"/>
      <c r="T2" s="139"/>
    </row>
    <row r="3" spans="1:20">
      <c r="A3" s="27" t="s">
        <v>38</v>
      </c>
      <c r="B3" s="27"/>
      <c r="C3" s="27" t="s">
        <v>19</v>
      </c>
      <c r="D3" s="27" t="s">
        <v>20</v>
      </c>
      <c r="E3" s="27"/>
      <c r="F3" s="27"/>
      <c r="G3" s="27"/>
      <c r="H3" s="27"/>
      <c r="I3" s="27"/>
      <c r="J3" s="27"/>
      <c r="K3" s="2"/>
      <c r="L3" s="2"/>
      <c r="M3" s="2"/>
      <c r="N3" s="2"/>
      <c r="O3" s="2"/>
      <c r="P3" s="2"/>
      <c r="Q3" s="2"/>
      <c r="R3" s="2"/>
      <c r="S3" s="2"/>
      <c r="T3" s="2"/>
    </row>
    <row r="4" spans="1:20" s="106" customFormat="1">
      <c r="A4" s="117" t="s">
        <v>64</v>
      </c>
      <c r="C4" s="118">
        <v>2</v>
      </c>
      <c r="D4" s="117" t="s">
        <v>166</v>
      </c>
      <c r="E4" s="113"/>
      <c r="F4" s="113"/>
      <c r="G4" s="113"/>
      <c r="H4" s="113"/>
      <c r="I4" s="113"/>
      <c r="J4" s="113"/>
      <c r="K4" s="113"/>
      <c r="L4" s="113"/>
      <c r="M4" s="113"/>
      <c r="N4" s="113"/>
      <c r="O4" s="113"/>
      <c r="P4" s="113"/>
      <c r="Q4" s="113"/>
      <c r="R4" s="113"/>
      <c r="S4" s="113"/>
      <c r="T4" s="113"/>
    </row>
    <row r="5" spans="1:20">
      <c r="A5" s="32" t="s">
        <v>21</v>
      </c>
      <c r="C5" s="100" t="str">
        <f>'5. 0% scenarijus'!C5</f>
        <v>%</v>
      </c>
      <c r="D5" s="32" t="s">
        <v>162</v>
      </c>
      <c r="E5" s="2"/>
      <c r="F5" s="2"/>
      <c r="G5" s="2"/>
      <c r="H5" s="2"/>
      <c r="I5" s="2"/>
      <c r="J5" s="2"/>
      <c r="K5" s="2"/>
      <c r="L5" s="2"/>
      <c r="M5" s="2"/>
      <c r="N5" s="2"/>
      <c r="O5" s="2"/>
      <c r="P5" s="2"/>
      <c r="Q5" s="2"/>
      <c r="R5" s="2"/>
      <c r="S5" s="2"/>
      <c r="T5" s="2"/>
    </row>
    <row r="6" spans="1:20">
      <c r="A6" s="32"/>
      <c r="B6" s="32"/>
      <c r="C6" s="32"/>
      <c r="D6" s="2"/>
      <c r="E6" s="2"/>
      <c r="F6" s="2"/>
      <c r="G6" s="2"/>
      <c r="H6" s="2"/>
      <c r="I6" s="2"/>
      <c r="J6" s="2"/>
      <c r="K6" s="2"/>
      <c r="L6" s="2"/>
      <c r="M6" s="2"/>
      <c r="N6" s="2"/>
      <c r="O6" s="2"/>
      <c r="P6" s="2"/>
      <c r="Q6" s="2"/>
      <c r="R6" s="2"/>
      <c r="S6" s="2"/>
      <c r="T6" s="2"/>
    </row>
    <row r="7" spans="1:20">
      <c r="A7" s="8" t="s">
        <v>1</v>
      </c>
      <c r="B7" s="8" t="s">
        <v>22</v>
      </c>
      <c r="C7" s="8">
        <f>'3. Finansinės prielaidos'!C26</f>
        <v>2026</v>
      </c>
      <c r="D7" s="8">
        <f>'3. Finansinės prielaidos'!D26</f>
        <v>2027</v>
      </c>
      <c r="E7" s="8">
        <f>'3. Finansinės prielaidos'!E26</f>
        <v>2028</v>
      </c>
      <c r="F7" s="8">
        <f>'3. Finansinės prielaidos'!F26</f>
        <v>2029</v>
      </c>
      <c r="G7" s="8">
        <f>'3. Finansinės prielaidos'!G26</f>
        <v>2030</v>
      </c>
      <c r="H7" s="8">
        <f>'3. Finansinės prielaidos'!H26</f>
        <v>2031</v>
      </c>
      <c r="I7" s="8">
        <f>'3. Finansinės prielaidos'!I26</f>
        <v>2032</v>
      </c>
      <c r="J7" s="8">
        <f>'3. Finansinės prielaidos'!J26</f>
        <v>2033</v>
      </c>
      <c r="K7" s="8">
        <f>'3. Finansinės prielaidos'!K26</f>
        <v>2034</v>
      </c>
      <c r="L7" s="8">
        <f>'3. Finansinės prielaidos'!L26</f>
        <v>2035</v>
      </c>
      <c r="M7" s="2"/>
      <c r="N7" s="2"/>
      <c r="O7" s="2"/>
      <c r="P7" s="2"/>
      <c r="Q7" s="2"/>
      <c r="R7" s="2"/>
      <c r="S7" s="2"/>
      <c r="T7" s="2"/>
    </row>
    <row r="8" spans="1:20">
      <c r="A8" s="22">
        <v>1</v>
      </c>
      <c r="B8" s="19" t="s">
        <v>314</v>
      </c>
      <c r="C8" s="20">
        <f>IF('3. Finansinės prielaidos'!C29="","",'3. Finansinės prielaidos'!C29)</f>
        <v>0</v>
      </c>
      <c r="D8" s="20">
        <f>IF('3. Finansinės prielaidos'!D29="","",'3. Finansinės prielaidos'!D29)</f>
        <v>0</v>
      </c>
      <c r="E8" s="20">
        <f>IF('3. Finansinės prielaidos'!E29="","",'3. Finansinės prielaidos'!E29)</f>
        <v>0</v>
      </c>
      <c r="F8" s="20">
        <f>IF('3. Finansinės prielaidos'!F29="","",'3. Finansinės prielaidos'!F29)</f>
        <v>0</v>
      </c>
      <c r="G8" s="20">
        <f>IF('3. Finansinės prielaidos'!G29="","",'3. Finansinės prielaidos'!G29)</f>
        <v>0</v>
      </c>
      <c r="H8" s="20">
        <f>IF('3. Finansinės prielaidos'!H29="","",'3. Finansinės prielaidos'!H29)</f>
        <v>0</v>
      </c>
      <c r="I8" s="20">
        <f>IF('3. Finansinės prielaidos'!I29="","",'3. Finansinės prielaidos'!I29)</f>
        <v>0</v>
      </c>
      <c r="J8" s="20">
        <f>IF('3. Finansinės prielaidos'!J29="","",'3. Finansinės prielaidos'!J29)</f>
        <v>0</v>
      </c>
      <c r="K8" s="20">
        <f>IF('3. Finansinės prielaidos'!K29="","",'3. Finansinės prielaidos'!K29)</f>
        <v>0</v>
      </c>
      <c r="L8" s="20">
        <f>IF('3. Finansinės prielaidos'!L29="","",'3. Finansinės prielaidos'!L29)</f>
        <v>0</v>
      </c>
      <c r="M8" s="2"/>
      <c r="N8" s="2"/>
      <c r="O8" s="2"/>
      <c r="P8" s="2"/>
      <c r="Q8" s="2"/>
      <c r="R8" s="2"/>
      <c r="S8" s="2"/>
      <c r="T8" s="2"/>
    </row>
    <row r="9" spans="1:20">
      <c r="A9" s="33">
        <v>2</v>
      </c>
      <c r="B9" s="17" t="s">
        <v>315</v>
      </c>
      <c r="C9" s="20" cm="1">
        <f t="array" ref="C9">IF($C$5="","",SUMPRODUCT(--(C$7&gt;'2. Investicijos'!$F$5:$F$24),--(C$7&lt;='2. Investicijos'!$F$5:$F$24+'2. Investicijos'!$G$5:$G$24),IFERROR(('2. Investicijos'!$M$5:$M$24+IF('2. Investicijos'!$N$5:$N$24&gt;('2. Investicijos'!$H$5:$H$24*IF('2. Investicijos'!$G$5:$G$24&lt;=35,30%,40%)),'2. Investicijos'!$N$5:$N$24-('2. Investicijos'!$H$5:$H$24*IF('2. Investicijos'!$G$5:$G$24&lt;=35,30%,40%)),0)+('2. Investicijos'!$H$5:$H$24*IF('2. Investicijos'!$G$5:$G$24&lt;=35,30%,40%)))/'2. Investicijos'!$G$5:$G$24,0)))</f>
        <v>0</v>
      </c>
      <c r="D9" s="20" cm="1">
        <f t="array" ref="D9">IF($C$5="","",SUMPRODUCT(--(D$7&gt;'2. Investicijos'!$F$5:$F$24),--(D$7&lt;='2. Investicijos'!$F$5:$F$24+'2. Investicijos'!$G$5:$G$24),IFERROR(('2. Investicijos'!$M$5:$M$24+IF('2. Investicijos'!$N$5:$N$24&gt;('2. Investicijos'!$H$5:$H$24*IF('2. Investicijos'!$G$5:$G$24&lt;=35,30%,40%)),'2. Investicijos'!$N$5:$N$24-('2. Investicijos'!$H$5:$H$24*IF('2. Investicijos'!$G$5:$G$24&lt;=35,30%,40%)),0)+('2. Investicijos'!$H$5:$H$24*IF('2. Investicijos'!$G$5:$G$24&lt;=35,30%,40%)))/'2. Investicijos'!$G$5:$G$24,0)))</f>
        <v>0</v>
      </c>
      <c r="E9" s="20" cm="1">
        <f t="array" ref="E9">IF($C$5="","",SUMPRODUCT(--(E$7&gt;'2. Investicijos'!$F$5:$F$24),--(E$7&lt;='2. Investicijos'!$F$5:$F$24+'2. Investicijos'!$G$5:$G$24),IFERROR(('2. Investicijos'!$M$5:$M$24+IF('2. Investicijos'!$N$5:$N$24&gt;('2. Investicijos'!$H$5:$H$24*IF('2. Investicijos'!$G$5:$G$24&lt;=35,30%,40%)),'2. Investicijos'!$N$5:$N$24-('2. Investicijos'!$H$5:$H$24*IF('2. Investicijos'!$G$5:$G$24&lt;=35,30%,40%)),0)+('2. Investicijos'!$H$5:$H$24*IF('2. Investicijos'!$G$5:$G$24&lt;=35,30%,40%)))/'2. Investicijos'!$G$5:$G$24,0)))</f>
        <v>0</v>
      </c>
      <c r="F9" s="20" cm="1">
        <f t="array" ref="F9">IF($C$5="","",SUMPRODUCT(--(F$7&gt;'2. Investicijos'!$F$5:$F$24),--(F$7&lt;='2. Investicijos'!$F$5:$F$24+'2. Investicijos'!$G$5:$G$24),IFERROR(('2. Investicijos'!$M$5:$M$24+IF('2. Investicijos'!$N$5:$N$24&gt;('2. Investicijos'!$H$5:$H$24*IF('2. Investicijos'!$G$5:$G$24&lt;=35,30%,40%)),'2. Investicijos'!$N$5:$N$24-('2. Investicijos'!$H$5:$H$24*IF('2. Investicijos'!$G$5:$G$24&lt;=35,30%,40%)),0)+('2. Investicijos'!$H$5:$H$24*IF('2. Investicijos'!$G$5:$G$24&lt;=35,30%,40%)))/'2. Investicijos'!$G$5:$G$24,0)))</f>
        <v>0</v>
      </c>
      <c r="G9" s="20" cm="1">
        <f t="array" ref="G9">IF($C$5="","",SUMPRODUCT(--(G$7&gt;'2. Investicijos'!$F$5:$F$24),--(G$7&lt;='2. Investicijos'!$F$5:$F$24+'2. Investicijos'!$G$5:$G$24),IFERROR(('2. Investicijos'!$M$5:$M$24+IF('2. Investicijos'!$N$5:$N$24&gt;('2. Investicijos'!$H$5:$H$24*IF('2. Investicijos'!$G$5:$G$24&lt;=35,30%,40%)),'2. Investicijos'!$N$5:$N$24-('2. Investicijos'!$H$5:$H$24*IF('2. Investicijos'!$G$5:$G$24&lt;=35,30%,40%)),0)+('2. Investicijos'!$H$5:$H$24*IF('2. Investicijos'!$G$5:$G$24&lt;=35,30%,40%)))/'2. Investicijos'!$G$5:$G$24,0)))</f>
        <v>0</v>
      </c>
      <c r="H9" s="20" cm="1">
        <f t="array" ref="H9">IF($C$5="","",SUMPRODUCT(--(H$7&gt;'2. Investicijos'!$F$5:$F$24),--(H$7&lt;='2. Investicijos'!$F$5:$F$24+'2. Investicijos'!$G$5:$G$24),IFERROR(('2. Investicijos'!$M$5:$M$24+IF('2. Investicijos'!$N$5:$N$24&gt;('2. Investicijos'!$H$5:$H$24*IF('2. Investicijos'!$G$5:$G$24&lt;=35,30%,40%)),'2. Investicijos'!$N$5:$N$24-('2. Investicijos'!$H$5:$H$24*IF('2. Investicijos'!$G$5:$G$24&lt;=35,30%,40%)),0)+('2. Investicijos'!$H$5:$H$24*IF('2. Investicijos'!$G$5:$G$24&lt;=35,30%,40%)))/'2. Investicijos'!$G$5:$G$24,0)))</f>
        <v>0</v>
      </c>
      <c r="I9" s="20" cm="1">
        <f t="array" ref="I9">IF($C$5="","",SUMPRODUCT(--(I$7&gt;'2. Investicijos'!$F$5:$F$24),--(I$7&lt;='2. Investicijos'!$F$5:$F$24+'2. Investicijos'!$G$5:$G$24),IFERROR(('2. Investicijos'!$M$5:$M$24+IF('2. Investicijos'!$N$5:$N$24&gt;('2. Investicijos'!$H$5:$H$24*IF('2. Investicijos'!$G$5:$G$24&lt;=35,30%,40%)),'2. Investicijos'!$N$5:$N$24-('2. Investicijos'!$H$5:$H$24*IF('2. Investicijos'!$G$5:$G$24&lt;=35,30%,40%)),0)+('2. Investicijos'!$H$5:$H$24*IF('2. Investicijos'!$G$5:$G$24&lt;=35,30%,40%)))/'2. Investicijos'!$G$5:$G$24,0)))</f>
        <v>0</v>
      </c>
      <c r="J9" s="20" cm="1">
        <f t="array" ref="J9">IF($C$5="","",SUMPRODUCT(--(J$7&gt;'2. Investicijos'!$F$5:$F$24),--(J$7&lt;='2. Investicijos'!$F$5:$F$24+'2. Investicijos'!$G$5:$G$24),IFERROR(('2. Investicijos'!$M$5:$M$24+IF('2. Investicijos'!$N$5:$N$24&gt;('2. Investicijos'!$H$5:$H$24*IF('2. Investicijos'!$G$5:$G$24&lt;=35,30%,40%)),'2. Investicijos'!$N$5:$N$24-('2. Investicijos'!$H$5:$H$24*IF('2. Investicijos'!$G$5:$G$24&lt;=35,30%,40%)),0)+('2. Investicijos'!$H$5:$H$24*IF('2. Investicijos'!$G$5:$G$24&lt;=35,30%,40%)))/'2. Investicijos'!$G$5:$G$24,0)))</f>
        <v>0</v>
      </c>
      <c r="K9" s="20" cm="1">
        <f t="array" ref="K9">IF($C$5="","",SUMPRODUCT(--(K$7&gt;'2. Investicijos'!$F$5:$F$24),--(K$7&lt;='2. Investicijos'!$F$5:$F$24+'2. Investicijos'!$G$5:$G$24),IFERROR(('2. Investicijos'!$M$5:$M$24+IF('2. Investicijos'!$N$5:$N$24&gt;('2. Investicijos'!$H$5:$H$24*IF('2. Investicijos'!$G$5:$G$24&lt;=35,30%,40%)),'2. Investicijos'!$N$5:$N$24-('2. Investicijos'!$H$5:$H$24*IF('2. Investicijos'!$G$5:$G$24&lt;=35,30%,40%)),0)+('2. Investicijos'!$H$5:$H$24*IF('2. Investicijos'!$G$5:$G$24&lt;=35,30%,40%)))/'2. Investicijos'!$G$5:$G$24,0)))</f>
        <v>0</v>
      </c>
      <c r="L9" s="20" cm="1">
        <f t="array" ref="L9">IF($C$5="","",SUMPRODUCT(--(L$7&gt;'2. Investicijos'!$F$5:$F$24),--(L$7&lt;='2. Investicijos'!$F$5:$F$24+'2. Investicijos'!$G$5:$G$24),IFERROR(('2. Investicijos'!$M$5:$M$24+IF('2. Investicijos'!$N$5:$N$24&gt;('2. Investicijos'!$H$5:$H$24*IF('2. Investicijos'!$G$5:$G$24&lt;=35,30%,40%)),'2. Investicijos'!$N$5:$N$24-('2. Investicijos'!$H$5:$H$24*IF('2. Investicijos'!$G$5:$G$24&lt;=35,30%,40%)),0)+('2. Investicijos'!$H$5:$H$24*IF('2. Investicijos'!$G$5:$G$24&lt;=35,30%,40%)))/'2. Investicijos'!$G$5:$G$24,0)))</f>
        <v>0</v>
      </c>
      <c r="M9" s="2"/>
      <c r="N9" s="2"/>
      <c r="O9" s="2"/>
      <c r="P9" s="2"/>
      <c r="Q9" s="2"/>
      <c r="R9" s="2"/>
      <c r="S9" s="2"/>
      <c r="T9" s="2"/>
    </row>
    <row r="10" spans="1:20">
      <c r="A10" s="33">
        <v>3</v>
      </c>
      <c r="B10" s="17" t="s">
        <v>316</v>
      </c>
      <c r="C10" s="20" t="e" cm="1">
        <f t="array" ref="C10">IF($C$5="","",SUMPRODUCT(--(C$7&gt;'2. Investicijos'!$F$5:$F$24),--(C$7&lt;='2. Investicijos'!$F$5:$F$24+'2. Investicijos'!$G$5:$G$24),IFERROR(('2. Investicijos'!$M$5:$M$24+IF('2. Investicijos'!$N$5:$N$24&gt;('2. Investicijos'!$H$5:$H$24*IF('2. Investicijos'!$G$5:$G$24&lt;=35,30%,40%)),'2. Investicijos'!$N$5:$N$24-('2. Investicijos'!$H$5:$H$24*IF('2. Investicijos'!$G$5:$G$24&lt;=35,30%,40%)),0))*(1-((C$7-'2. Investicijos'!$F$5:$F$24)-1)/'2. Investicijos'!$G$5:$G$24),0))*$C$5)</f>
        <v>#VALUE!</v>
      </c>
      <c r="D10" s="20" t="e" cm="1">
        <f t="array" ref="D10">IF($C$5="","",SUMPRODUCT(--(D$7&gt;'2. Investicijos'!$F$5:$F$24),--(D$7&lt;='2. Investicijos'!$F$5:$F$24+'2. Investicijos'!$G$5:$G$24),IFERROR(('2. Investicijos'!$M$5:$M$24+IF('2. Investicijos'!$N$5:$N$24&gt;('2. Investicijos'!$H$5:$H$24*IF('2. Investicijos'!$G$5:$G$24&lt;=35,30%,40%)),'2. Investicijos'!$N$5:$N$24-('2. Investicijos'!$H$5:$H$24*IF('2. Investicijos'!$G$5:$G$24&lt;=35,30%,40%)),0))*(1-((D$7-'2. Investicijos'!$F$5:$F$24)-1)/'2. Investicijos'!$G$5:$G$24),0))*$C$5)</f>
        <v>#VALUE!</v>
      </c>
      <c r="E10" s="20" t="e" cm="1">
        <f t="array" ref="E10">IF($C$5="","",SUMPRODUCT(--(E$7&gt;'2. Investicijos'!$F$5:$F$24),--(E$7&lt;='2. Investicijos'!$F$5:$F$24+'2. Investicijos'!$G$5:$G$24),IFERROR(('2. Investicijos'!$M$5:$M$24+IF('2. Investicijos'!$N$5:$N$24&gt;('2. Investicijos'!$H$5:$H$24*IF('2. Investicijos'!$G$5:$G$24&lt;=35,30%,40%)),'2. Investicijos'!$N$5:$N$24-('2. Investicijos'!$H$5:$H$24*IF('2. Investicijos'!$G$5:$G$24&lt;=35,30%,40%)),0))*(1-((E$7-'2. Investicijos'!$F$5:$F$24)-1)/'2. Investicijos'!$G$5:$G$24),0))*$C$5)</f>
        <v>#VALUE!</v>
      </c>
      <c r="F10" s="20" t="e" cm="1">
        <f t="array" ref="F10">IF($C$5="","",SUMPRODUCT(--(F$7&gt;'2. Investicijos'!$F$5:$F$24),--(F$7&lt;='2. Investicijos'!$F$5:$F$24+'2. Investicijos'!$G$5:$G$24),IFERROR(('2. Investicijos'!$M$5:$M$24+IF('2. Investicijos'!$N$5:$N$24&gt;('2. Investicijos'!$H$5:$H$24*IF('2. Investicijos'!$G$5:$G$24&lt;=35,30%,40%)),'2. Investicijos'!$N$5:$N$24-('2. Investicijos'!$H$5:$H$24*IF('2. Investicijos'!$G$5:$G$24&lt;=35,30%,40%)),0))*(1-((F$7-'2. Investicijos'!$F$5:$F$24)-1)/'2. Investicijos'!$G$5:$G$24),0))*$C$5)</f>
        <v>#VALUE!</v>
      </c>
      <c r="G10" s="20" t="e" cm="1">
        <f t="array" ref="G10">IF($C$5="","",SUMPRODUCT(--(G$7&gt;'2. Investicijos'!$F$5:$F$24),--(G$7&lt;='2. Investicijos'!$F$5:$F$24+'2. Investicijos'!$G$5:$G$24),IFERROR(('2. Investicijos'!$M$5:$M$24+IF('2. Investicijos'!$N$5:$N$24&gt;('2. Investicijos'!$H$5:$H$24*IF('2. Investicijos'!$G$5:$G$24&lt;=35,30%,40%)),'2. Investicijos'!$N$5:$N$24-('2. Investicijos'!$H$5:$H$24*IF('2. Investicijos'!$G$5:$G$24&lt;=35,30%,40%)),0))*(1-((G$7-'2. Investicijos'!$F$5:$F$24)-1)/'2. Investicijos'!$G$5:$G$24),0))*$C$5)</f>
        <v>#VALUE!</v>
      </c>
      <c r="H10" s="20" t="e" cm="1">
        <f t="array" ref="H10">IF($C$5="","",SUMPRODUCT(--(H$7&gt;'2. Investicijos'!$F$5:$F$24),--(H$7&lt;='2. Investicijos'!$F$5:$F$24+'2. Investicijos'!$G$5:$G$24),IFERROR(('2. Investicijos'!$M$5:$M$24+IF('2. Investicijos'!$N$5:$N$24&gt;('2. Investicijos'!$H$5:$H$24*IF('2. Investicijos'!$G$5:$G$24&lt;=35,30%,40%)),'2. Investicijos'!$N$5:$N$24-('2. Investicijos'!$H$5:$H$24*IF('2. Investicijos'!$G$5:$G$24&lt;=35,30%,40%)),0))*(1-((H$7-'2. Investicijos'!$F$5:$F$24)-1)/'2. Investicijos'!$G$5:$G$24),0))*$C$5)</f>
        <v>#VALUE!</v>
      </c>
      <c r="I10" s="20" t="e" cm="1">
        <f t="array" ref="I10">IF($C$5="","",SUMPRODUCT(--(I$7&gt;'2. Investicijos'!$F$5:$F$24),--(I$7&lt;='2. Investicijos'!$F$5:$F$24+'2. Investicijos'!$G$5:$G$24),IFERROR(('2. Investicijos'!$M$5:$M$24+IF('2. Investicijos'!$N$5:$N$24&gt;('2. Investicijos'!$H$5:$H$24*IF('2. Investicijos'!$G$5:$G$24&lt;=35,30%,40%)),'2. Investicijos'!$N$5:$N$24-('2. Investicijos'!$H$5:$H$24*IF('2. Investicijos'!$G$5:$G$24&lt;=35,30%,40%)),0))*(1-((I$7-'2. Investicijos'!$F$5:$F$24)-1)/'2. Investicijos'!$G$5:$G$24),0))*$C$5)</f>
        <v>#VALUE!</v>
      </c>
      <c r="J10" s="20" t="e" cm="1">
        <f t="array" ref="J10">IF($C$5="","",SUMPRODUCT(--(J$7&gt;'2. Investicijos'!$F$5:$F$24),--(J$7&lt;='2. Investicijos'!$F$5:$F$24+'2. Investicijos'!$G$5:$G$24),IFERROR(('2. Investicijos'!$M$5:$M$24+IF('2. Investicijos'!$N$5:$N$24&gt;('2. Investicijos'!$H$5:$H$24*IF('2. Investicijos'!$G$5:$G$24&lt;=35,30%,40%)),'2. Investicijos'!$N$5:$N$24-('2. Investicijos'!$H$5:$H$24*IF('2. Investicijos'!$G$5:$G$24&lt;=35,30%,40%)),0))*(1-((J$7-'2. Investicijos'!$F$5:$F$24)-1)/'2. Investicijos'!$G$5:$G$24),0))*$C$5)</f>
        <v>#VALUE!</v>
      </c>
      <c r="K10" s="20" t="e" cm="1">
        <f t="array" ref="K10">IF($C$5="","",SUMPRODUCT(--(K$7&gt;'2. Investicijos'!$F$5:$F$24),--(K$7&lt;='2. Investicijos'!$F$5:$F$24+'2. Investicijos'!$G$5:$G$24),IFERROR(('2. Investicijos'!$M$5:$M$24+IF('2. Investicijos'!$N$5:$N$24&gt;('2. Investicijos'!$H$5:$H$24*IF('2. Investicijos'!$G$5:$G$24&lt;=35,30%,40%)),'2. Investicijos'!$N$5:$N$24-('2. Investicijos'!$H$5:$H$24*IF('2. Investicijos'!$G$5:$G$24&lt;=35,30%,40%)),0))*(1-((K$7-'2. Investicijos'!$F$5:$F$24)-1)/'2. Investicijos'!$G$5:$G$24),0))*$C$5)</f>
        <v>#VALUE!</v>
      </c>
      <c r="L10" s="20" t="e" cm="1">
        <f t="array" ref="L10">IF($C$5="","",SUMPRODUCT(--(L$7&gt;'2. Investicijos'!$F$5:$F$24),--(L$7&lt;='2. Investicijos'!$F$5:$F$24+'2. Investicijos'!$G$5:$G$24),IFERROR(('2. Investicijos'!$M$5:$M$24+IF('2. Investicijos'!$N$5:$N$24&gt;('2. Investicijos'!$H$5:$H$24*IF('2. Investicijos'!$G$5:$G$24&lt;=35,30%,40%)),'2. Investicijos'!$N$5:$N$24-('2. Investicijos'!$H$5:$H$24*IF('2. Investicijos'!$G$5:$G$24&lt;=35,30%,40%)),0))*(1-((L$7-'2. Investicijos'!$F$5:$F$24)-1)/'2. Investicijos'!$G$5:$G$24),0))*$C$5)</f>
        <v>#VALUE!</v>
      </c>
      <c r="M10" s="2"/>
      <c r="N10" s="2"/>
      <c r="O10" s="2"/>
      <c r="P10" s="2"/>
      <c r="Q10" s="2"/>
      <c r="R10" s="2"/>
      <c r="S10" s="2"/>
      <c r="T10" s="2"/>
    </row>
    <row r="11" spans="1:20">
      <c r="A11" s="22">
        <v>4</v>
      </c>
      <c r="B11" s="19" t="s">
        <v>163</v>
      </c>
      <c r="C11" s="20">
        <f t="shared" ref="C11:L11" si="0">IF(OR($C$4="",$C$4&lt;1,$C$4&gt;2),"",IF(AND(C$7&gt;=2026,C$7&lt;2026+$C$4),SUM($F$40:$F$59)/$C$4,0))</f>
        <v>0</v>
      </c>
      <c r="D11" s="20">
        <f t="shared" si="0"/>
        <v>0</v>
      </c>
      <c r="E11" s="20">
        <f t="shared" si="0"/>
        <v>0</v>
      </c>
      <c r="F11" s="20">
        <f t="shared" si="0"/>
        <v>0</v>
      </c>
      <c r="G11" s="20">
        <f t="shared" si="0"/>
        <v>0</v>
      </c>
      <c r="H11" s="20">
        <f t="shared" si="0"/>
        <v>0</v>
      </c>
      <c r="I11" s="20">
        <f t="shared" si="0"/>
        <v>0</v>
      </c>
      <c r="J11" s="20">
        <f t="shared" si="0"/>
        <v>0</v>
      </c>
      <c r="K11" s="20">
        <f t="shared" si="0"/>
        <v>0</v>
      </c>
      <c r="L11" s="20">
        <f t="shared" si="0"/>
        <v>0</v>
      </c>
      <c r="M11" s="2"/>
      <c r="N11" s="2"/>
      <c r="O11" s="2"/>
      <c r="P11" s="2"/>
      <c r="Q11" s="2"/>
      <c r="R11" s="2"/>
      <c r="S11" s="2"/>
      <c r="T11" s="2"/>
    </row>
    <row r="12" spans="1:20">
      <c r="A12" s="35">
        <v>5</v>
      </c>
      <c r="B12" s="36" t="s">
        <v>317</v>
      </c>
      <c r="C12" s="39">
        <f t="shared" ref="C12:L12" si="1">IF(C8="","",C8+IFERROR(C9,0)+IFERROR(C10,0)+IFERROR(C11,0))</f>
        <v>0</v>
      </c>
      <c r="D12" s="39">
        <f t="shared" si="1"/>
        <v>0</v>
      </c>
      <c r="E12" s="39">
        <f t="shared" si="1"/>
        <v>0</v>
      </c>
      <c r="F12" s="39">
        <f t="shared" si="1"/>
        <v>0</v>
      </c>
      <c r="G12" s="39">
        <f t="shared" si="1"/>
        <v>0</v>
      </c>
      <c r="H12" s="39">
        <f t="shared" si="1"/>
        <v>0</v>
      </c>
      <c r="I12" s="39">
        <f t="shared" si="1"/>
        <v>0</v>
      </c>
      <c r="J12" s="39">
        <f t="shared" si="1"/>
        <v>0</v>
      </c>
      <c r="K12" s="39">
        <f t="shared" si="1"/>
        <v>0</v>
      </c>
      <c r="L12" s="39">
        <f t="shared" si="1"/>
        <v>0</v>
      </c>
      <c r="M12" s="2"/>
      <c r="N12" s="2"/>
      <c r="O12" s="2"/>
      <c r="P12" s="2"/>
      <c r="Q12" s="2"/>
      <c r="R12" s="2"/>
      <c r="S12" s="2"/>
      <c r="T12" s="2"/>
    </row>
    <row r="13" spans="1:20">
      <c r="A13" s="22">
        <v>6</v>
      </c>
      <c r="B13" s="19" t="s">
        <v>134</v>
      </c>
      <c r="C13" s="20">
        <f>IF('3. Finansinės prielaidos'!C30="","",'3. Finansinės prielaidos'!C30)</f>
        <v>0</v>
      </c>
      <c r="D13" s="20">
        <f>IF('3. Finansinės prielaidos'!D30="","",'3. Finansinės prielaidos'!D30)</f>
        <v>0</v>
      </c>
      <c r="E13" s="20">
        <f>IF('3. Finansinės prielaidos'!E30="","",'3. Finansinės prielaidos'!E30)</f>
        <v>0</v>
      </c>
      <c r="F13" s="20">
        <f>IF('3. Finansinės prielaidos'!F30="","",'3. Finansinės prielaidos'!F30)</f>
        <v>0</v>
      </c>
      <c r="G13" s="20">
        <f>IF('3. Finansinės prielaidos'!G30="","",'3. Finansinės prielaidos'!G30)</f>
        <v>0</v>
      </c>
      <c r="H13" s="20">
        <f>IF('3. Finansinės prielaidos'!H30="","",'3. Finansinės prielaidos'!H30)</f>
        <v>0</v>
      </c>
      <c r="I13" s="20">
        <f>IF('3. Finansinės prielaidos'!I30="","",'3. Finansinės prielaidos'!I30)</f>
        <v>0</v>
      </c>
      <c r="J13" s="20">
        <f>IF('3. Finansinės prielaidos'!J30="","",'3. Finansinės prielaidos'!J30)</f>
        <v>0</v>
      </c>
      <c r="K13" s="20">
        <f>IF('3. Finansinės prielaidos'!K30="","",'3. Finansinės prielaidos'!K30)</f>
        <v>0</v>
      </c>
      <c r="L13" s="20">
        <f>IF('3. Finansinės prielaidos'!L30="","",'3. Finansinės prielaidos'!L30)</f>
        <v>0</v>
      </c>
      <c r="M13" s="2"/>
      <c r="N13" s="2"/>
      <c r="O13" s="2"/>
      <c r="P13" s="2"/>
      <c r="Q13" s="2"/>
      <c r="R13" s="2"/>
      <c r="S13" s="2"/>
      <c r="T13" s="2"/>
    </row>
    <row r="14" spans="1:20">
      <c r="A14" s="22">
        <v>7</v>
      </c>
      <c r="B14" s="19" t="s">
        <v>165</v>
      </c>
      <c r="C14" s="20">
        <f>'6A. Pagalbiniai skaičiavimai'!F25</f>
        <v>0</v>
      </c>
      <c r="D14" s="20">
        <f>'6A. Pagalbiniai skaičiavimai'!G25</f>
        <v>0</v>
      </c>
      <c r="E14" s="20">
        <f>'6A. Pagalbiniai skaičiavimai'!H25</f>
        <v>0</v>
      </c>
      <c r="F14" s="20">
        <f>'6A. Pagalbiniai skaičiavimai'!I25</f>
        <v>0</v>
      </c>
      <c r="G14" s="20">
        <f>'6A. Pagalbiniai skaičiavimai'!J25</f>
        <v>0</v>
      </c>
      <c r="H14" s="20">
        <f>'6A. Pagalbiniai skaičiavimai'!K25</f>
        <v>0</v>
      </c>
      <c r="I14" s="20">
        <f>'6A. Pagalbiniai skaičiavimai'!L25</f>
        <v>0</v>
      </c>
      <c r="J14" s="20">
        <f>'6A. Pagalbiniai skaičiavimai'!M25</f>
        <v>0</v>
      </c>
      <c r="K14" s="20">
        <f>'6A. Pagalbiniai skaičiavimai'!N25</f>
        <v>0</v>
      </c>
      <c r="L14" s="20">
        <f>'6A. Pagalbiniai skaičiavimai'!O25</f>
        <v>0</v>
      </c>
      <c r="M14" s="2"/>
      <c r="N14" s="2"/>
      <c r="O14" s="2"/>
      <c r="P14" s="2"/>
      <c r="Q14" s="2"/>
      <c r="R14" s="2"/>
      <c r="S14" s="2"/>
      <c r="T14" s="2"/>
    </row>
    <row r="15" spans="1:20">
      <c r="A15" s="22">
        <v>8</v>
      </c>
      <c r="B15" s="19" t="s">
        <v>136</v>
      </c>
      <c r="C15" s="20">
        <f>'6A. Pagalbiniai skaičiavimai'!P25</f>
        <v>0</v>
      </c>
      <c r="D15" s="20">
        <f>'6A. Pagalbiniai skaičiavimai'!Q25</f>
        <v>0</v>
      </c>
      <c r="E15" s="20">
        <f>'6A. Pagalbiniai skaičiavimai'!R25</f>
        <v>0</v>
      </c>
      <c r="F15" s="20">
        <f>'6A. Pagalbiniai skaičiavimai'!S25</f>
        <v>0</v>
      </c>
      <c r="G15" s="20">
        <f>'6A. Pagalbiniai skaičiavimai'!T25</f>
        <v>0</v>
      </c>
      <c r="H15" s="20">
        <f>'6A. Pagalbiniai skaičiavimai'!U25</f>
        <v>0</v>
      </c>
      <c r="I15" s="20">
        <f>'6A. Pagalbiniai skaičiavimai'!V25</f>
        <v>0</v>
      </c>
      <c r="J15" s="20">
        <f>'6A. Pagalbiniai skaičiavimai'!W25</f>
        <v>0</v>
      </c>
      <c r="K15" s="20">
        <f>'6A. Pagalbiniai skaičiavimai'!X25</f>
        <v>0</v>
      </c>
      <c r="L15" s="20">
        <f>'6A. Pagalbiniai skaičiavimai'!Y25</f>
        <v>0</v>
      </c>
      <c r="M15" s="2"/>
      <c r="N15" s="2"/>
      <c r="O15" s="2"/>
      <c r="P15" s="2"/>
      <c r="Q15" s="2"/>
      <c r="R15" s="2"/>
      <c r="S15" s="2"/>
      <c r="T15" s="2"/>
    </row>
    <row r="16" spans="1:20">
      <c r="A16" s="22">
        <v>9</v>
      </c>
      <c r="B16" s="19" t="s">
        <v>137</v>
      </c>
      <c r="C16" s="20">
        <f>'6A. Pagalbiniai skaičiavimai'!Z25</f>
        <v>0</v>
      </c>
      <c r="D16" s="20">
        <f>'6A. Pagalbiniai skaičiavimai'!AA25</f>
        <v>0</v>
      </c>
      <c r="E16" s="20">
        <f>'6A. Pagalbiniai skaičiavimai'!AB25</f>
        <v>0</v>
      </c>
      <c r="F16" s="20">
        <f>'6A. Pagalbiniai skaičiavimai'!AC25</f>
        <v>0</v>
      </c>
      <c r="G16" s="20">
        <f>'6A. Pagalbiniai skaičiavimai'!AD25</f>
        <v>0</v>
      </c>
      <c r="H16" s="20">
        <f>'6A. Pagalbiniai skaičiavimai'!AE25</f>
        <v>0</v>
      </c>
      <c r="I16" s="20">
        <f>'6A. Pagalbiniai skaičiavimai'!AF25</f>
        <v>0</v>
      </c>
      <c r="J16" s="20">
        <f>'6A. Pagalbiniai skaičiavimai'!AG25</f>
        <v>0</v>
      </c>
      <c r="K16" s="20">
        <f>'6A. Pagalbiniai skaičiavimai'!AH25</f>
        <v>0</v>
      </c>
      <c r="L16" s="20">
        <f>'6A. Pagalbiniai skaičiavimai'!AI25</f>
        <v>0</v>
      </c>
      <c r="M16" s="2"/>
      <c r="N16" s="2"/>
      <c r="O16" s="2"/>
      <c r="P16" s="2"/>
      <c r="Q16" s="2"/>
      <c r="R16" s="2"/>
      <c r="S16" s="2"/>
      <c r="T16" s="2"/>
    </row>
    <row r="17" spans="1:20">
      <c r="A17" s="22">
        <v>10</v>
      </c>
      <c r="B17" s="19" t="s">
        <v>138</v>
      </c>
      <c r="C17" s="20">
        <f>'6A. Pagalbiniai skaičiavimai'!AJ25</f>
        <v>0</v>
      </c>
      <c r="D17" s="20">
        <f>'6A. Pagalbiniai skaičiavimai'!AK25</f>
        <v>0</v>
      </c>
      <c r="E17" s="20">
        <f>'6A. Pagalbiniai skaičiavimai'!AL25</f>
        <v>0</v>
      </c>
      <c r="F17" s="20">
        <f>'6A. Pagalbiniai skaičiavimai'!AM25</f>
        <v>0</v>
      </c>
      <c r="G17" s="20">
        <f>'6A. Pagalbiniai skaičiavimai'!AN25</f>
        <v>0</v>
      </c>
      <c r="H17" s="20">
        <f>'6A. Pagalbiniai skaičiavimai'!AO25</f>
        <v>0</v>
      </c>
      <c r="I17" s="20">
        <f>'6A. Pagalbiniai skaičiavimai'!AP25</f>
        <v>0</v>
      </c>
      <c r="J17" s="20">
        <f>'6A. Pagalbiniai skaičiavimai'!AQ25</f>
        <v>0</v>
      </c>
      <c r="K17" s="20">
        <f>'6A. Pagalbiniai skaičiavimai'!AR25</f>
        <v>0</v>
      </c>
      <c r="L17" s="20">
        <f>'6A. Pagalbiniai skaičiavimai'!AS25</f>
        <v>0</v>
      </c>
      <c r="M17" s="2"/>
      <c r="N17" s="2"/>
      <c r="O17" s="2"/>
      <c r="P17" s="2"/>
      <c r="Q17" s="2"/>
      <c r="R17" s="2"/>
      <c r="S17" s="2"/>
      <c r="T17" s="2"/>
    </row>
    <row r="18" spans="1:20">
      <c r="A18" s="35">
        <v>11</v>
      </c>
      <c r="B18" s="36" t="s">
        <v>161</v>
      </c>
      <c r="C18" s="39">
        <f t="shared" ref="C18:L18" si="2">IF(C13="","",C13+IFERROR(C17,0))</f>
        <v>0</v>
      </c>
      <c r="D18" s="39">
        <f t="shared" si="2"/>
        <v>0</v>
      </c>
      <c r="E18" s="39">
        <f t="shared" si="2"/>
        <v>0</v>
      </c>
      <c r="F18" s="39">
        <f t="shared" si="2"/>
        <v>0</v>
      </c>
      <c r="G18" s="39">
        <f t="shared" si="2"/>
        <v>0</v>
      </c>
      <c r="H18" s="39">
        <f t="shared" si="2"/>
        <v>0</v>
      </c>
      <c r="I18" s="39">
        <f t="shared" si="2"/>
        <v>0</v>
      </c>
      <c r="J18" s="39">
        <f t="shared" si="2"/>
        <v>0</v>
      </c>
      <c r="K18" s="39">
        <f t="shared" si="2"/>
        <v>0</v>
      </c>
      <c r="L18" s="39">
        <f t="shared" si="2"/>
        <v>0</v>
      </c>
      <c r="M18" s="2"/>
      <c r="N18" s="2"/>
      <c r="O18" s="2"/>
      <c r="P18" s="2"/>
      <c r="Q18" s="2"/>
      <c r="R18" s="2"/>
      <c r="S18" s="2"/>
      <c r="T18" s="2"/>
    </row>
    <row r="19" spans="1:20">
      <c r="A19" s="22">
        <v>12</v>
      </c>
      <c r="B19" s="19" t="s">
        <v>139</v>
      </c>
      <c r="C19" s="20">
        <f>IF('3. Finansinės prielaidos'!C31="","",'3. Finansinės prielaidos'!C31)</f>
        <v>0</v>
      </c>
      <c r="D19" s="20">
        <f>IF('3. Finansinės prielaidos'!D31="","",'3. Finansinės prielaidos'!D31)</f>
        <v>0</v>
      </c>
      <c r="E19" s="20">
        <f>IF('3. Finansinės prielaidos'!E31="","",'3. Finansinės prielaidos'!E31)</f>
        <v>0</v>
      </c>
      <c r="F19" s="20">
        <f>IF('3. Finansinės prielaidos'!F31="","",'3. Finansinės prielaidos'!F31)</f>
        <v>0</v>
      </c>
      <c r="G19" s="20">
        <f>IF('3. Finansinės prielaidos'!G31="","",'3. Finansinės prielaidos'!G31)</f>
        <v>0</v>
      </c>
      <c r="H19" s="20">
        <f>IF('3. Finansinės prielaidos'!H31="","",'3. Finansinės prielaidos'!H31)</f>
        <v>0</v>
      </c>
      <c r="I19" s="20">
        <f>IF('3. Finansinės prielaidos'!I31="","",'3. Finansinės prielaidos'!I31)</f>
        <v>0</v>
      </c>
      <c r="J19" s="20">
        <f>IF('3. Finansinės prielaidos'!J31="","",'3. Finansinės prielaidos'!J31)</f>
        <v>0</v>
      </c>
      <c r="K19" s="20">
        <f>IF('3. Finansinės prielaidos'!K31="","",'3. Finansinės prielaidos'!K31)</f>
        <v>0</v>
      </c>
      <c r="L19" s="20">
        <f>IF('3. Finansinės prielaidos'!L31="","",'3. Finansinės prielaidos'!L31)</f>
        <v>0</v>
      </c>
      <c r="M19" s="2"/>
      <c r="N19" s="2"/>
      <c r="O19" s="2"/>
      <c r="P19" s="2"/>
      <c r="Q19" s="2"/>
      <c r="R19" s="2"/>
      <c r="S19" s="2"/>
      <c r="T19" s="2"/>
    </row>
    <row r="20" spans="1:20">
      <c r="A20" s="22">
        <v>13</v>
      </c>
      <c r="B20" s="19" t="s">
        <v>140</v>
      </c>
      <c r="C20" s="20">
        <f>IF('3. Finansinės prielaidos'!C32="","",'3. Finansinės prielaidos'!C32)</f>
        <v>0</v>
      </c>
      <c r="D20" s="20">
        <f>IF('3. Finansinės prielaidos'!D32="","",'3. Finansinės prielaidos'!D32)</f>
        <v>0</v>
      </c>
      <c r="E20" s="20">
        <f>IF('3. Finansinės prielaidos'!E32="","",'3. Finansinės prielaidos'!E32)</f>
        <v>0</v>
      </c>
      <c r="F20" s="20">
        <f>IF('3. Finansinės prielaidos'!F32="","",'3. Finansinės prielaidos'!F32)</f>
        <v>0</v>
      </c>
      <c r="G20" s="20">
        <f>IF('3. Finansinės prielaidos'!G32="","",'3. Finansinės prielaidos'!G32)</f>
        <v>0</v>
      </c>
      <c r="H20" s="20">
        <f>IF('3. Finansinės prielaidos'!H32="","",'3. Finansinės prielaidos'!H32)</f>
        <v>0</v>
      </c>
      <c r="I20" s="20">
        <f>IF('3. Finansinės prielaidos'!I32="","",'3. Finansinės prielaidos'!I32)</f>
        <v>0</v>
      </c>
      <c r="J20" s="20">
        <f>IF('3. Finansinės prielaidos'!J32="","",'3. Finansinės prielaidos'!J32)</f>
        <v>0</v>
      </c>
      <c r="K20" s="20">
        <f>IF('3. Finansinės prielaidos'!K32="","",'3. Finansinės prielaidos'!K32)</f>
        <v>0</v>
      </c>
      <c r="L20" s="20">
        <f>IF('3. Finansinės prielaidos'!L32="","",'3. Finansinės prielaidos'!L32)</f>
        <v>0</v>
      </c>
      <c r="M20" s="2"/>
      <c r="N20" s="2"/>
      <c r="O20" s="2"/>
      <c r="P20" s="2"/>
      <c r="Q20" s="2"/>
      <c r="R20" s="2"/>
      <c r="S20" s="2"/>
      <c r="T20" s="2"/>
    </row>
    <row r="21" spans="1:20">
      <c r="A21" s="22">
        <v>14</v>
      </c>
      <c r="B21" s="19" t="s">
        <v>141</v>
      </c>
      <c r="C21" s="20" cm="1">
        <f t="array" ref="C21">SUMPRODUCT('4. Metinis CAPEX'!F$9:F$28,IFERROR(('2. Investicijos'!$I$5:$I$24+'2. Investicijos'!$J$5:$J$24+'2. Investicijos'!$K$5:$K$24+'2. Investicijos'!$L$5:$L$24)/'2. Investicijos'!$H$5:$H$24,0))</f>
        <v>0</v>
      </c>
      <c r="D21" s="20" cm="1">
        <f t="array" ref="D21">SUMPRODUCT('4. Metinis CAPEX'!G$9:G$28,IFERROR(('2. Investicijos'!$I$5:$I$24+'2. Investicijos'!$J$5:$J$24+'2. Investicijos'!$K$5:$K$24+'2. Investicijos'!$L$5:$L$24)/'2. Investicijos'!$H$5:$H$24,0))</f>
        <v>0</v>
      </c>
      <c r="E21" s="20" cm="1">
        <f t="array" ref="E21">SUMPRODUCT('4. Metinis CAPEX'!H$9:H$28,IFERROR(('2. Investicijos'!$I$5:$I$24+'2. Investicijos'!$J$5:$J$24+'2. Investicijos'!$K$5:$K$24+'2. Investicijos'!$L$5:$L$24)/'2. Investicijos'!$H$5:$H$24,0))</f>
        <v>0</v>
      </c>
      <c r="F21" s="20" cm="1">
        <f t="array" ref="F21">SUMPRODUCT('4. Metinis CAPEX'!I$9:I$28,IFERROR(('2. Investicijos'!$I$5:$I$24+'2. Investicijos'!$J$5:$J$24+'2. Investicijos'!$K$5:$K$24+'2. Investicijos'!$L$5:$L$24)/'2. Investicijos'!$H$5:$H$24,0))</f>
        <v>0</v>
      </c>
      <c r="G21" s="20" cm="1">
        <f t="array" ref="G21">SUMPRODUCT('4. Metinis CAPEX'!J$9:J$28,IFERROR(('2. Investicijos'!$I$5:$I$24+'2. Investicijos'!$J$5:$J$24+'2. Investicijos'!$K$5:$K$24+'2. Investicijos'!$L$5:$L$24)/'2. Investicijos'!$H$5:$H$24,0))</f>
        <v>0</v>
      </c>
      <c r="H21" s="20" cm="1">
        <f t="array" ref="H21">SUMPRODUCT('4. Metinis CAPEX'!K$9:K$28,IFERROR(('2. Investicijos'!$I$5:$I$24+'2. Investicijos'!$J$5:$J$24+'2. Investicijos'!$K$5:$K$24+'2. Investicijos'!$L$5:$L$24)/'2. Investicijos'!$H$5:$H$24,0))</f>
        <v>0</v>
      </c>
      <c r="I21" s="20" cm="1">
        <f t="array" ref="I21">SUMPRODUCT('4. Metinis CAPEX'!L$9:L$28,IFERROR(('2. Investicijos'!$I$5:$I$24+'2. Investicijos'!$J$5:$J$24+'2. Investicijos'!$K$5:$K$24+'2. Investicijos'!$L$5:$L$24)/'2. Investicijos'!$H$5:$H$24,0))</f>
        <v>0</v>
      </c>
      <c r="J21" s="20" cm="1">
        <f t="array" ref="J21">SUMPRODUCT('4. Metinis CAPEX'!M$9:M$28,IFERROR(('2. Investicijos'!$I$5:$I$24+'2. Investicijos'!$J$5:$J$24+'2. Investicijos'!$K$5:$K$24+'2. Investicijos'!$L$5:$L$24)/'2. Investicijos'!$H$5:$H$24,0))</f>
        <v>0</v>
      </c>
      <c r="K21" s="20" cm="1">
        <f t="array" ref="K21">SUMPRODUCT('4. Metinis CAPEX'!N$9:N$28,IFERROR(('2. Investicijos'!$I$5:$I$24+'2. Investicijos'!$J$5:$J$24+'2. Investicijos'!$K$5:$K$24+'2. Investicijos'!$L$5:$L$24)/'2. Investicijos'!$H$5:$H$24,0))</f>
        <v>0</v>
      </c>
      <c r="L21" s="20" cm="1">
        <f t="array" ref="L21">SUMPRODUCT('4. Metinis CAPEX'!O$9:O$28,IFERROR(('2. Investicijos'!$I$5:$I$24+'2. Investicijos'!$J$5:$J$24+'2. Investicijos'!$K$5:$K$24+'2. Investicijos'!$L$5:$L$24)/'2. Investicijos'!$H$5:$H$24,0))</f>
        <v>0</v>
      </c>
      <c r="M21" s="2"/>
      <c r="N21" s="2"/>
      <c r="O21" s="2"/>
      <c r="P21" s="2"/>
      <c r="Q21" s="2"/>
      <c r="R21" s="2"/>
      <c r="S21" s="2"/>
      <c r="T21" s="2"/>
    </row>
    <row r="22" spans="1:20">
      <c r="A22" s="33">
        <v>15</v>
      </c>
      <c r="B22" s="17" t="s">
        <v>142</v>
      </c>
      <c r="C22" s="20">
        <f>'4. Metinis CAPEX'!F5</f>
        <v>0</v>
      </c>
      <c r="D22" s="20">
        <f>'4. Metinis CAPEX'!G5</f>
        <v>0</v>
      </c>
      <c r="E22" s="20">
        <f>'4. Metinis CAPEX'!H5</f>
        <v>0</v>
      </c>
      <c r="F22" s="20">
        <f>'4. Metinis CAPEX'!I5</f>
        <v>0</v>
      </c>
      <c r="G22" s="20">
        <f>'4. Metinis CAPEX'!J5</f>
        <v>0</v>
      </c>
      <c r="H22" s="20">
        <f>'4. Metinis CAPEX'!K5</f>
        <v>0</v>
      </c>
      <c r="I22" s="20">
        <f>'4. Metinis CAPEX'!L5</f>
        <v>0</v>
      </c>
      <c r="J22" s="20">
        <f>'4. Metinis CAPEX'!M5</f>
        <v>0</v>
      </c>
      <c r="K22" s="20">
        <f>'4. Metinis CAPEX'!N5</f>
        <v>0</v>
      </c>
      <c r="L22" s="20">
        <f>'4. Metinis CAPEX'!O5</f>
        <v>0</v>
      </c>
      <c r="M22" s="2"/>
      <c r="N22" s="2"/>
      <c r="O22" s="2"/>
      <c r="P22" s="2"/>
      <c r="Q22" s="2"/>
      <c r="R22" s="2"/>
      <c r="S22" s="2"/>
      <c r="T22" s="2"/>
    </row>
    <row r="23" spans="1:20">
      <c r="A23" s="38">
        <v>16</v>
      </c>
      <c r="B23" s="14" t="s">
        <v>157</v>
      </c>
      <c r="C23" s="39">
        <f>IF(OR(C15="",C16=""),"",C15+C16)</f>
        <v>0</v>
      </c>
      <c r="D23" s="39" cm="1">
        <f t="array" ref="D23">IF(OR(D15="",D16=""),"",D15+D16+MAX(0,-C25)*IFERROR(SUMPRODUCT(IF('2.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0</v>
      </c>
      <c r="E23" s="39" cm="1">
        <f t="array" ref="E23">IF(OR(E15="",E16=""),"",E15+E16+MAX(0,-D25)*IFERROR(SUMPRODUCT(IF('2.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0</v>
      </c>
      <c r="F23" s="39" cm="1">
        <f t="array" ref="F23">IF(OR(F15="",F16=""),"",F15+F16+MAX(0,-E25)*IFERROR(SUMPRODUCT(IF('2.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0</v>
      </c>
      <c r="G23" s="39" cm="1">
        <f t="array" ref="G23">IF(OR(G15="",G16=""),"",G15+G16+MAX(0,-F25)*IFERROR(SUMPRODUCT(IF('2.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0</v>
      </c>
      <c r="H23" s="39" cm="1">
        <f t="array" ref="H23">IF(OR(H15="",H16=""),"",H15+H16+MAX(0,-G25)*IFERROR(SUMPRODUCT(IF('2.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0</v>
      </c>
      <c r="I23" s="39" cm="1">
        <f t="array" ref="I23">IF(OR(I15="",I16=""),"",I15+I16+MAX(0,-H25)*IFERROR(SUMPRODUCT(IF('2.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0</v>
      </c>
      <c r="J23" s="39" cm="1">
        <f t="array" ref="J23">IF(OR(J15="",J16=""),"",J15+J16+MAX(0,-I25)*IFERROR(SUMPRODUCT(IF('2.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0</v>
      </c>
      <c r="K23" s="39" cm="1">
        <f t="array" ref="K23">IF(OR(K15="",K16=""),"",K15+K16+MAX(0,-J25)*IFERROR(SUMPRODUCT(IF('2.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0</v>
      </c>
      <c r="L23" s="39" cm="1">
        <f t="array" ref="L23">IF(OR(L15="",L16=""),"",L15+L16+MAX(0,-K25)*IFERROR(SUMPRODUCT(IF('2.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0</v>
      </c>
      <c r="M23" s="2"/>
      <c r="N23" s="2"/>
      <c r="O23" s="2"/>
      <c r="P23" s="2"/>
      <c r="Q23" s="2"/>
      <c r="R23" s="2"/>
      <c r="S23" s="2"/>
      <c r="T23" s="2"/>
    </row>
    <row r="24" spans="1:20">
      <c r="A24" s="33">
        <v>17</v>
      </c>
      <c r="B24" s="17" t="s">
        <v>143</v>
      </c>
      <c r="C24" s="20">
        <f t="shared" ref="C24:L24" si="3">IF(C22="","",IFERROR(C9,0)+IFERROR(C10,0)+IFERROR(C11,0)+IFERROR(C14,0)+IFERROR(C21,0)-C22-IFERROR(C23,0))</f>
        <v>0</v>
      </c>
      <c r="D24" s="20">
        <f t="shared" si="3"/>
        <v>0</v>
      </c>
      <c r="E24" s="20">
        <f t="shared" si="3"/>
        <v>0</v>
      </c>
      <c r="F24" s="20">
        <f t="shared" si="3"/>
        <v>0</v>
      </c>
      <c r="G24" s="20">
        <f t="shared" si="3"/>
        <v>0</v>
      </c>
      <c r="H24" s="20">
        <f t="shared" si="3"/>
        <v>0</v>
      </c>
      <c r="I24" s="20">
        <f t="shared" si="3"/>
        <v>0</v>
      </c>
      <c r="J24" s="20">
        <f t="shared" si="3"/>
        <v>0</v>
      </c>
      <c r="K24" s="20">
        <f t="shared" si="3"/>
        <v>0</v>
      </c>
      <c r="L24" s="20">
        <f t="shared" si="3"/>
        <v>0</v>
      </c>
      <c r="M24" s="2"/>
      <c r="N24" s="2"/>
      <c r="O24" s="2"/>
      <c r="P24" s="2"/>
      <c r="Q24" s="2"/>
      <c r="R24" s="2"/>
      <c r="S24" s="2"/>
      <c r="T24" s="2"/>
    </row>
    <row r="25" spans="1:20">
      <c r="A25" s="35">
        <v>18</v>
      </c>
      <c r="B25" s="36" t="s">
        <v>158</v>
      </c>
      <c r="C25" s="39">
        <f>IF(C19="","",C19+SUM($C$24:C24))</f>
        <v>0</v>
      </c>
      <c r="D25" s="39">
        <f>IF(D19="","",D19+SUM($C$24:D24))</f>
        <v>0</v>
      </c>
      <c r="E25" s="39">
        <f>IF(E19="","",E19+SUM($C$24:E24))</f>
        <v>0</v>
      </c>
      <c r="F25" s="39">
        <f>IF(F19="","",F19+SUM($C$24:F24))</f>
        <v>0</v>
      </c>
      <c r="G25" s="39">
        <f>IF(G19="","",G19+SUM($C$24:G24))</f>
        <v>0</v>
      </c>
      <c r="H25" s="39">
        <f>IF(H19="","",H19+SUM($C$24:H24))</f>
        <v>0</v>
      </c>
      <c r="I25" s="39">
        <f>IF(I19="","",I19+SUM($C$24:I24))</f>
        <v>0</v>
      </c>
      <c r="J25" s="39">
        <f>IF(J19="","",J19+SUM($C$24:J24))</f>
        <v>0</v>
      </c>
      <c r="K25" s="39">
        <f>IF(K19="","",K19+SUM($C$24:K24))</f>
        <v>0</v>
      </c>
      <c r="L25" s="39">
        <f>IF(L19="","",L19+SUM($C$24:L24))</f>
        <v>0</v>
      </c>
      <c r="M25" s="2"/>
      <c r="N25" s="2"/>
      <c r="O25" s="2"/>
      <c r="P25" s="2"/>
      <c r="Q25" s="2"/>
      <c r="R25" s="2"/>
      <c r="S25" s="2"/>
      <c r="T25" s="2"/>
    </row>
    <row r="26" spans="1:20">
      <c r="A26" s="35">
        <v>19</v>
      </c>
      <c r="B26" s="36" t="s">
        <v>132</v>
      </c>
      <c r="C26" s="39">
        <f t="shared" ref="C26:L26" si="4">IF(OR(C18="",C25=""),"",C18-C25)</f>
        <v>0</v>
      </c>
      <c r="D26" s="39">
        <f t="shared" si="4"/>
        <v>0</v>
      </c>
      <c r="E26" s="39">
        <f t="shared" si="4"/>
        <v>0</v>
      </c>
      <c r="F26" s="39">
        <f t="shared" si="4"/>
        <v>0</v>
      </c>
      <c r="G26" s="39">
        <f t="shared" si="4"/>
        <v>0</v>
      </c>
      <c r="H26" s="39">
        <f t="shared" si="4"/>
        <v>0</v>
      </c>
      <c r="I26" s="39">
        <f t="shared" si="4"/>
        <v>0</v>
      </c>
      <c r="J26" s="39">
        <f t="shared" si="4"/>
        <v>0</v>
      </c>
      <c r="K26" s="39">
        <f t="shared" si="4"/>
        <v>0</v>
      </c>
      <c r="L26" s="39">
        <f t="shared" si="4"/>
        <v>0</v>
      </c>
      <c r="M26" s="2"/>
      <c r="N26" s="2"/>
      <c r="O26" s="2"/>
      <c r="P26" s="2"/>
      <c r="Q26" s="2"/>
      <c r="R26" s="2"/>
      <c r="S26" s="2"/>
      <c r="T26" s="2"/>
    </row>
    <row r="27" spans="1:20">
      <c r="A27" s="35">
        <v>20</v>
      </c>
      <c r="B27" s="36" t="s">
        <v>308</v>
      </c>
      <c r="C27" s="48" t="str">
        <f t="shared" ref="C27:L27" si="5">IF(OR(C26="",C12="",C12&lt;=0),"",C26/C12)</f>
        <v/>
      </c>
      <c r="D27" s="48" t="str">
        <f t="shared" si="5"/>
        <v/>
      </c>
      <c r="E27" s="48" t="str">
        <f t="shared" si="5"/>
        <v/>
      </c>
      <c r="F27" s="48" t="str">
        <f t="shared" si="5"/>
        <v/>
      </c>
      <c r="G27" s="48" t="str">
        <f t="shared" si="5"/>
        <v/>
      </c>
      <c r="H27" s="48" t="str">
        <f t="shared" si="5"/>
        <v/>
      </c>
      <c r="I27" s="48" t="str">
        <f t="shared" si="5"/>
        <v/>
      </c>
      <c r="J27" s="48" t="str">
        <f t="shared" si="5"/>
        <v/>
      </c>
      <c r="K27" s="48" t="str">
        <f t="shared" si="5"/>
        <v/>
      </c>
      <c r="L27" s="48" t="str">
        <f t="shared" si="5"/>
        <v/>
      </c>
      <c r="M27" s="2"/>
      <c r="N27" s="2"/>
      <c r="O27" s="2"/>
      <c r="P27" s="2"/>
      <c r="Q27" s="2"/>
      <c r="R27" s="2"/>
      <c r="S27" s="2"/>
      <c r="T27" s="2"/>
    </row>
    <row r="28" spans="1:20">
      <c r="A28" s="35">
        <v>21</v>
      </c>
      <c r="B28" s="36" t="s">
        <v>24</v>
      </c>
      <c r="C28" s="49" t="str">
        <f t="shared" ref="C28:L28" si="6">IF(OR(C12="",C20="",C12&lt;=0),"",IF(C20+IFERROR(C23,0)=0,"",C12/(C20+IFERROR(C23,0))))</f>
        <v/>
      </c>
      <c r="D28" s="49" t="str">
        <f t="shared" si="6"/>
        <v/>
      </c>
      <c r="E28" s="49" t="str">
        <f t="shared" si="6"/>
        <v/>
      </c>
      <c r="F28" s="49" t="str">
        <f t="shared" si="6"/>
        <v/>
      </c>
      <c r="G28" s="49" t="str">
        <f t="shared" si="6"/>
        <v/>
      </c>
      <c r="H28" s="49" t="str">
        <f t="shared" si="6"/>
        <v/>
      </c>
      <c r="I28" s="49" t="str">
        <f t="shared" si="6"/>
        <v/>
      </c>
      <c r="J28" s="49" t="str">
        <f t="shared" si="6"/>
        <v/>
      </c>
      <c r="K28" s="49" t="str">
        <f t="shared" si="6"/>
        <v/>
      </c>
      <c r="L28" s="49" t="str">
        <f t="shared" si="6"/>
        <v/>
      </c>
      <c r="M28" s="2"/>
      <c r="N28" s="2"/>
      <c r="O28" s="2"/>
      <c r="P28" s="2"/>
      <c r="Q28" s="2"/>
      <c r="R28" s="2"/>
      <c r="S28" s="2"/>
      <c r="T28" s="2"/>
    </row>
    <row r="29" spans="1:20">
      <c r="A29" s="35">
        <v>22</v>
      </c>
      <c r="B29" s="36" t="s">
        <v>25</v>
      </c>
      <c r="C29" s="36" t="str">
        <f t="shared" ref="C29:L29" si="7">IF(OR(C27="",C28=""),"",IF(AND(C27&lt;=5.5,C28&gt;=1.2),"ATITINKA","NEATITINKA"))</f>
        <v/>
      </c>
      <c r="D29" s="36" t="str">
        <f t="shared" si="7"/>
        <v/>
      </c>
      <c r="E29" s="36" t="str">
        <f t="shared" si="7"/>
        <v/>
      </c>
      <c r="F29" s="36" t="str">
        <f t="shared" si="7"/>
        <v/>
      </c>
      <c r="G29" s="36" t="str">
        <f t="shared" si="7"/>
        <v/>
      </c>
      <c r="H29" s="36" t="str">
        <f t="shared" si="7"/>
        <v/>
      </c>
      <c r="I29" s="36" t="str">
        <f t="shared" si="7"/>
        <v/>
      </c>
      <c r="J29" s="36" t="str">
        <f t="shared" si="7"/>
        <v/>
      </c>
      <c r="K29" s="36" t="str">
        <f t="shared" si="7"/>
        <v/>
      </c>
      <c r="L29" s="36" t="str">
        <f t="shared" si="7"/>
        <v/>
      </c>
      <c r="M29" s="2"/>
      <c r="N29" s="2"/>
      <c r="O29" s="2"/>
      <c r="P29" s="2"/>
      <c r="Q29" s="2"/>
      <c r="R29" s="2"/>
      <c r="S29" s="2"/>
      <c r="T29" s="2"/>
    </row>
    <row r="30" spans="1:20">
      <c r="A30" s="2"/>
      <c r="B30" s="2"/>
      <c r="C30" s="2"/>
      <c r="D30" s="2"/>
      <c r="E30" s="2"/>
      <c r="F30" s="2"/>
      <c r="G30" s="2"/>
      <c r="H30" s="2"/>
      <c r="I30" s="2"/>
      <c r="J30" s="2"/>
      <c r="K30" s="2"/>
      <c r="L30" s="2"/>
      <c r="M30" s="2"/>
      <c r="N30" s="2"/>
      <c r="O30" s="2"/>
      <c r="P30" s="2"/>
      <c r="Q30" s="2"/>
      <c r="R30" s="2"/>
      <c r="S30" s="2"/>
      <c r="T30" s="2"/>
    </row>
    <row r="31" spans="1:20" ht="24">
      <c r="A31" s="8" t="s">
        <v>41</v>
      </c>
      <c r="B31" s="8" t="s">
        <v>42</v>
      </c>
      <c r="C31" s="8" t="s">
        <v>43</v>
      </c>
      <c r="D31" s="8"/>
      <c r="E31" s="8" t="s">
        <v>65</v>
      </c>
      <c r="F31" s="8" t="s">
        <v>19</v>
      </c>
      <c r="G31" s="8" t="s">
        <v>26</v>
      </c>
      <c r="H31" s="2"/>
      <c r="I31" s="2"/>
      <c r="J31" s="2"/>
      <c r="K31" s="2"/>
      <c r="L31" s="2"/>
      <c r="M31" s="2"/>
      <c r="N31" s="2"/>
      <c r="O31" s="2"/>
      <c r="P31" s="2"/>
      <c r="Q31" s="2"/>
      <c r="R31" s="2"/>
      <c r="S31" s="2"/>
      <c r="T31" s="2"/>
    </row>
    <row r="32" spans="1:20" ht="24">
      <c r="A32" s="17" t="s">
        <v>308</v>
      </c>
      <c r="B32" s="19">
        <v>5.5</v>
      </c>
      <c r="C32" s="19" t="s">
        <v>277</v>
      </c>
      <c r="D32" s="19"/>
      <c r="E32" s="19" t="s">
        <v>66</v>
      </c>
      <c r="F32" s="50">
        <f>SUM(F40:F59)</f>
        <v>0</v>
      </c>
      <c r="G32" s="19" t="s">
        <v>173</v>
      </c>
      <c r="H32" s="2"/>
      <c r="I32" s="2"/>
      <c r="J32" s="2"/>
      <c r="K32" s="2"/>
      <c r="L32" s="2"/>
      <c r="M32" s="2"/>
      <c r="N32" s="2"/>
      <c r="O32" s="2"/>
      <c r="P32" s="2"/>
      <c r="Q32" s="2"/>
      <c r="R32" s="2"/>
      <c r="S32" s="2"/>
      <c r="T32" s="2"/>
    </row>
    <row r="33" spans="1:20">
      <c r="A33" s="19" t="s">
        <v>24</v>
      </c>
      <c r="B33" s="19">
        <v>1.2</v>
      </c>
      <c r="C33" s="19" t="s">
        <v>278</v>
      </c>
      <c r="D33" s="19"/>
      <c r="E33" s="19" t="s">
        <v>67</v>
      </c>
      <c r="F33" s="46" t="str">
        <f>IF(SUM(C40:C59)=0,"",F32/SUM(C40:C59))</f>
        <v/>
      </c>
      <c r="G33" s="19" t="s">
        <v>68</v>
      </c>
      <c r="H33" s="2"/>
      <c r="I33" s="2"/>
      <c r="J33" s="2"/>
      <c r="K33" s="2"/>
      <c r="L33" s="2"/>
      <c r="M33" s="2"/>
      <c r="N33" s="2"/>
      <c r="O33" s="2"/>
      <c r="P33" s="2"/>
      <c r="Q33" s="2"/>
      <c r="R33" s="2"/>
      <c r="S33" s="2"/>
      <c r="T33" s="2"/>
    </row>
    <row r="34" spans="1:20">
      <c r="A34" s="19" t="s">
        <v>69</v>
      </c>
      <c r="B34" s="19" t="s">
        <v>70</v>
      </c>
      <c r="C34" s="19" t="s">
        <v>279</v>
      </c>
      <c r="D34" s="19"/>
      <c r="E34" s="19" t="s">
        <v>53</v>
      </c>
      <c r="F34" s="19" t="str">
        <f>B88</f>
        <v/>
      </c>
      <c r="G34" s="19" t="s">
        <v>174</v>
      </c>
      <c r="H34" s="2"/>
      <c r="I34" s="2"/>
      <c r="J34" s="2"/>
      <c r="K34" s="2"/>
      <c r="L34" s="2"/>
      <c r="M34" s="2"/>
      <c r="N34" s="2"/>
      <c r="O34" s="2"/>
      <c r="P34" s="2"/>
      <c r="Q34" s="2"/>
      <c r="R34" s="2"/>
      <c r="S34" s="2"/>
      <c r="T34" s="2"/>
    </row>
    <row r="35" spans="1:20">
      <c r="A35" s="19" t="s">
        <v>71</v>
      </c>
      <c r="B35" s="19" t="s">
        <v>72</v>
      </c>
      <c r="C35" s="19" t="s">
        <v>73</v>
      </c>
      <c r="D35" s="19"/>
      <c r="E35" s="19" t="s">
        <v>44</v>
      </c>
      <c r="F35" s="19" t="str">
        <f>B87</f>
        <v/>
      </c>
      <c r="G35" s="19" t="s">
        <v>175</v>
      </c>
      <c r="H35" s="2"/>
      <c r="I35" s="2"/>
      <c r="J35" s="2"/>
      <c r="K35" s="2"/>
      <c r="L35" s="2"/>
      <c r="M35" s="2"/>
      <c r="N35" s="2"/>
      <c r="O35" s="2"/>
      <c r="P35" s="2"/>
      <c r="Q35" s="2"/>
      <c r="R35" s="2"/>
      <c r="S35" s="2"/>
      <c r="T35" s="2"/>
    </row>
    <row r="36" spans="1:20">
      <c r="A36" s="19"/>
      <c r="B36" s="19"/>
      <c r="C36" s="19"/>
      <c r="D36" s="19"/>
      <c r="E36" s="19" t="s">
        <v>51</v>
      </c>
      <c r="F36" s="19" t="str">
        <f>B89</f>
        <v/>
      </c>
      <c r="G36" s="19" t="s">
        <v>176</v>
      </c>
      <c r="H36" s="2"/>
      <c r="I36" s="2"/>
      <c r="J36" s="2"/>
      <c r="K36" s="2"/>
      <c r="L36" s="2"/>
      <c r="M36" s="2"/>
      <c r="N36" s="2"/>
      <c r="O36" s="2"/>
      <c r="P36" s="2"/>
      <c r="Q36" s="2"/>
      <c r="R36" s="2"/>
      <c r="S36" s="2"/>
      <c r="T36" s="2"/>
    </row>
    <row r="37" spans="1:20">
      <c r="A37" s="2"/>
      <c r="B37" s="2"/>
      <c r="C37" s="2"/>
      <c r="D37" s="2"/>
      <c r="E37" s="2"/>
      <c r="F37" s="2"/>
      <c r="G37" s="2"/>
      <c r="H37" s="2"/>
      <c r="I37" s="2"/>
      <c r="J37" s="2"/>
      <c r="K37" s="2"/>
      <c r="L37" s="2"/>
      <c r="M37" s="2"/>
      <c r="N37" s="2"/>
      <c r="O37" s="2"/>
      <c r="P37" s="2"/>
      <c r="Q37" s="2"/>
      <c r="R37" s="2"/>
      <c r="S37" s="2"/>
      <c r="T37" s="2"/>
    </row>
    <row r="38" spans="1:20" ht="14.5">
      <c r="A38" s="138" t="s">
        <v>74</v>
      </c>
      <c r="B38" s="138"/>
      <c r="C38" s="138"/>
      <c r="D38" s="138"/>
      <c r="E38" s="138"/>
      <c r="F38" s="138"/>
      <c r="G38" s="138"/>
      <c r="H38" s="2"/>
      <c r="I38" s="2"/>
      <c r="J38" s="2"/>
      <c r="K38" s="2"/>
      <c r="L38" s="2"/>
      <c r="M38" s="2"/>
      <c r="N38" s="2"/>
      <c r="O38" s="2"/>
      <c r="P38" s="2"/>
      <c r="Q38" s="2"/>
      <c r="R38" s="2"/>
      <c r="S38" s="2"/>
      <c r="T38" s="2"/>
    </row>
    <row r="39" spans="1:20" ht="24">
      <c r="A39" s="8" t="s">
        <v>1</v>
      </c>
      <c r="B39" s="8" t="s">
        <v>2</v>
      </c>
      <c r="C39" s="8" t="s">
        <v>8</v>
      </c>
      <c r="D39" s="8" t="s">
        <v>7</v>
      </c>
      <c r="E39" s="8" t="s">
        <v>75</v>
      </c>
      <c r="F39" s="8" t="s">
        <v>76</v>
      </c>
      <c r="G39" s="8" t="s">
        <v>77</v>
      </c>
      <c r="H39" s="2"/>
      <c r="I39" s="2"/>
      <c r="J39" s="2"/>
      <c r="K39" s="2"/>
      <c r="L39" s="2"/>
      <c r="M39" s="2"/>
      <c r="N39" s="2"/>
      <c r="O39" s="2"/>
      <c r="P39" s="2"/>
      <c r="Q39" s="2"/>
      <c r="R39" s="2"/>
      <c r="S39" s="2"/>
      <c r="T39" s="2"/>
    </row>
    <row r="40" spans="1:20">
      <c r="A40" s="19" t="str">
        <f>'2. Investicijos'!A5</f>
        <v>1.</v>
      </c>
      <c r="B40" s="19" t="str">
        <f>IF('2. Investicijos'!B5="","",'2. Investicijos'!B5)</f>
        <v/>
      </c>
      <c r="C40" s="51" t="str">
        <f>IF('2. Investicijos'!H5="","",'2. Investicijos'!H5)</f>
        <v/>
      </c>
      <c r="D40" s="47" t="str">
        <f>IF('2. Investicijos'!G5="","",'2. Investicijos'!G5)</f>
        <v/>
      </c>
      <c r="E40" s="52" t="str">
        <f t="shared" ref="E40:E59" si="8">IF(D40="","",IF(D40&lt;=35,30%,40%))</f>
        <v/>
      </c>
      <c r="F40" s="51" t="str">
        <f t="shared" ref="F40:F59" si="9">IF(C40="","",C40*E40)</f>
        <v/>
      </c>
      <c r="G40" s="19">
        <f t="shared" ref="G40:G59" si="10">$C$4</f>
        <v>2</v>
      </c>
      <c r="H40" s="2"/>
      <c r="I40" s="2"/>
      <c r="J40" s="2"/>
      <c r="K40" s="2"/>
      <c r="L40" s="2"/>
      <c r="M40" s="2"/>
      <c r="N40" s="2"/>
      <c r="O40" s="2"/>
      <c r="P40" s="2"/>
      <c r="Q40" s="2"/>
      <c r="R40" s="2"/>
      <c r="S40" s="2"/>
      <c r="T40" s="2"/>
    </row>
    <row r="41" spans="1:20">
      <c r="A41" s="19" t="str">
        <f>'2. Investicijos'!A6</f>
        <v>2.</v>
      </c>
      <c r="B41" s="19" t="str">
        <f>IF('2. Investicijos'!B6="","",'2. Investicijos'!B6)</f>
        <v/>
      </c>
      <c r="C41" s="51" t="str">
        <f>IF('2. Investicijos'!H6="","",'2. Investicijos'!H6)</f>
        <v/>
      </c>
      <c r="D41" s="47" t="str">
        <f>IF('2. Investicijos'!G6="","",'2. Investicijos'!G6)</f>
        <v/>
      </c>
      <c r="E41" s="52" t="str">
        <f t="shared" si="8"/>
        <v/>
      </c>
      <c r="F41" s="51" t="str">
        <f t="shared" si="9"/>
        <v/>
      </c>
      <c r="G41" s="19">
        <f t="shared" si="10"/>
        <v>2</v>
      </c>
      <c r="H41" s="2"/>
      <c r="I41" s="2"/>
      <c r="J41" s="2"/>
      <c r="K41" s="2"/>
      <c r="L41" s="2"/>
      <c r="M41" s="2"/>
      <c r="N41" s="2"/>
      <c r="O41" s="2"/>
      <c r="P41" s="2"/>
      <c r="Q41" s="2"/>
      <c r="R41" s="2"/>
      <c r="S41" s="2"/>
      <c r="T41" s="2"/>
    </row>
    <row r="42" spans="1:20">
      <c r="A42" s="19" t="str">
        <f>'2. Investicijos'!A7</f>
        <v>3.</v>
      </c>
      <c r="B42" s="19" t="str">
        <f>IF('2. Investicijos'!B7="","",'2. Investicijos'!B7)</f>
        <v/>
      </c>
      <c r="C42" s="51" t="str">
        <f>IF('2. Investicijos'!H7="","",'2. Investicijos'!H7)</f>
        <v/>
      </c>
      <c r="D42" s="47" t="str">
        <f>IF('2. Investicijos'!G7="","",'2. Investicijos'!G7)</f>
        <v/>
      </c>
      <c r="E42" s="52" t="str">
        <f t="shared" si="8"/>
        <v/>
      </c>
      <c r="F42" s="51" t="str">
        <f t="shared" si="9"/>
        <v/>
      </c>
      <c r="G42" s="19">
        <f t="shared" si="10"/>
        <v>2</v>
      </c>
      <c r="H42" s="2"/>
      <c r="I42" s="2"/>
      <c r="J42" s="2"/>
      <c r="K42" s="2"/>
      <c r="L42" s="2"/>
      <c r="M42" s="2"/>
      <c r="N42" s="2"/>
      <c r="O42" s="2"/>
      <c r="P42" s="2"/>
      <c r="Q42" s="2"/>
      <c r="R42" s="2"/>
      <c r="S42" s="2"/>
      <c r="T42" s="2"/>
    </row>
    <row r="43" spans="1:20">
      <c r="A43" s="19" t="str">
        <f>'2. Investicijos'!A8</f>
        <v>4.</v>
      </c>
      <c r="B43" s="19" t="str">
        <f>IF('2. Investicijos'!B8="","",'2. Investicijos'!B8)</f>
        <v/>
      </c>
      <c r="C43" s="51" t="str">
        <f>IF('2. Investicijos'!H8="","",'2. Investicijos'!H8)</f>
        <v/>
      </c>
      <c r="D43" s="47" t="str">
        <f>IF('2. Investicijos'!G8="","",'2. Investicijos'!G8)</f>
        <v/>
      </c>
      <c r="E43" s="52" t="str">
        <f t="shared" si="8"/>
        <v/>
      </c>
      <c r="F43" s="51" t="str">
        <f t="shared" si="9"/>
        <v/>
      </c>
      <c r="G43" s="19">
        <f t="shared" si="10"/>
        <v>2</v>
      </c>
      <c r="H43" s="2"/>
      <c r="I43" s="2"/>
      <c r="J43" s="2"/>
      <c r="K43" s="2"/>
      <c r="L43" s="2"/>
      <c r="M43" s="2"/>
      <c r="N43" s="2"/>
      <c r="O43" s="2"/>
      <c r="P43" s="2"/>
      <c r="Q43" s="2"/>
      <c r="R43" s="2"/>
      <c r="S43" s="2"/>
      <c r="T43" s="2"/>
    </row>
    <row r="44" spans="1:20">
      <c r="A44" s="19" t="str">
        <f>'2. Investicijos'!A9</f>
        <v>5.</v>
      </c>
      <c r="B44" s="19" t="str">
        <f>IF('2. Investicijos'!B9="","",'2. Investicijos'!B9)</f>
        <v/>
      </c>
      <c r="C44" s="51" t="str">
        <f>IF('2. Investicijos'!H9="","",'2. Investicijos'!H9)</f>
        <v/>
      </c>
      <c r="D44" s="47" t="str">
        <f>IF('2. Investicijos'!G9="","",'2. Investicijos'!G9)</f>
        <v/>
      </c>
      <c r="E44" s="52" t="str">
        <f t="shared" si="8"/>
        <v/>
      </c>
      <c r="F44" s="51" t="str">
        <f t="shared" si="9"/>
        <v/>
      </c>
      <c r="G44" s="19">
        <f t="shared" si="10"/>
        <v>2</v>
      </c>
      <c r="H44" s="2"/>
      <c r="I44" s="2"/>
      <c r="J44" s="2"/>
      <c r="K44" s="2"/>
      <c r="L44" s="2"/>
      <c r="M44" s="2"/>
      <c r="N44" s="2"/>
      <c r="O44" s="2"/>
      <c r="P44" s="2"/>
      <c r="Q44" s="2"/>
      <c r="R44" s="2"/>
      <c r="S44" s="2"/>
      <c r="T44" s="2"/>
    </row>
    <row r="45" spans="1:20">
      <c r="A45" s="19" t="str">
        <f>'2. Investicijos'!A10</f>
        <v>6.</v>
      </c>
      <c r="B45" s="19" t="str">
        <f>IF('2. Investicijos'!B10="","",'2. Investicijos'!B10)</f>
        <v/>
      </c>
      <c r="C45" s="51" t="str">
        <f>IF('2. Investicijos'!H10="","",'2. Investicijos'!H10)</f>
        <v/>
      </c>
      <c r="D45" s="47" t="str">
        <f>IF('2. Investicijos'!G10="","",'2. Investicijos'!G10)</f>
        <v/>
      </c>
      <c r="E45" s="52" t="str">
        <f t="shared" si="8"/>
        <v/>
      </c>
      <c r="F45" s="51" t="str">
        <f t="shared" si="9"/>
        <v/>
      </c>
      <c r="G45" s="19">
        <f t="shared" si="10"/>
        <v>2</v>
      </c>
      <c r="H45" s="2"/>
      <c r="I45" s="2"/>
      <c r="J45" s="2"/>
      <c r="K45" s="2"/>
      <c r="L45" s="2"/>
      <c r="M45" s="2"/>
      <c r="N45" s="2"/>
      <c r="O45" s="2"/>
      <c r="P45" s="2"/>
      <c r="Q45" s="2"/>
      <c r="R45" s="2"/>
      <c r="S45" s="2"/>
      <c r="T45" s="2"/>
    </row>
    <row r="46" spans="1:20">
      <c r="A46" s="19" t="str">
        <f>'2. Investicijos'!A11</f>
        <v>7.</v>
      </c>
      <c r="B46" s="19" t="str">
        <f>IF('2. Investicijos'!B11="","",'2. Investicijos'!B11)</f>
        <v/>
      </c>
      <c r="C46" s="51" t="str">
        <f>IF('2. Investicijos'!H11="","",'2. Investicijos'!H11)</f>
        <v/>
      </c>
      <c r="D46" s="47" t="str">
        <f>IF('2. Investicijos'!G11="","",'2. Investicijos'!G11)</f>
        <v/>
      </c>
      <c r="E46" s="52" t="str">
        <f t="shared" si="8"/>
        <v/>
      </c>
      <c r="F46" s="51" t="str">
        <f t="shared" si="9"/>
        <v/>
      </c>
      <c r="G46" s="19">
        <f t="shared" si="10"/>
        <v>2</v>
      </c>
      <c r="H46" s="2"/>
      <c r="I46" s="2"/>
      <c r="J46" s="2"/>
      <c r="K46" s="2"/>
      <c r="L46" s="2"/>
      <c r="M46" s="2"/>
      <c r="N46" s="2"/>
      <c r="O46" s="2"/>
      <c r="P46" s="2"/>
      <c r="Q46" s="2"/>
      <c r="R46" s="2"/>
      <c r="S46" s="2"/>
      <c r="T46" s="2"/>
    </row>
    <row r="47" spans="1:20">
      <c r="A47" s="19" t="str">
        <f>'2. Investicijos'!A12</f>
        <v>8.</v>
      </c>
      <c r="B47" s="19" t="str">
        <f>IF('2. Investicijos'!B12="","",'2. Investicijos'!B12)</f>
        <v/>
      </c>
      <c r="C47" s="51" t="str">
        <f>IF('2. Investicijos'!H12="","",'2. Investicijos'!H12)</f>
        <v/>
      </c>
      <c r="D47" s="47" t="str">
        <f>IF('2. Investicijos'!G12="","",'2. Investicijos'!G12)</f>
        <v/>
      </c>
      <c r="E47" s="52" t="str">
        <f t="shared" si="8"/>
        <v/>
      </c>
      <c r="F47" s="51" t="str">
        <f t="shared" si="9"/>
        <v/>
      </c>
      <c r="G47" s="19">
        <f t="shared" si="10"/>
        <v>2</v>
      </c>
      <c r="H47" s="2"/>
      <c r="I47" s="2"/>
      <c r="J47" s="2"/>
      <c r="K47" s="2"/>
      <c r="L47" s="2"/>
      <c r="M47" s="2"/>
      <c r="N47" s="2"/>
      <c r="O47" s="2"/>
      <c r="P47" s="2"/>
      <c r="Q47" s="2"/>
      <c r="R47" s="2"/>
      <c r="S47" s="2"/>
      <c r="T47" s="2"/>
    </row>
    <row r="48" spans="1:20">
      <c r="A48" s="19" t="str">
        <f>'2. Investicijos'!A13</f>
        <v>9.</v>
      </c>
      <c r="B48" s="19" t="str">
        <f>IF('2. Investicijos'!B13="","",'2. Investicijos'!B13)</f>
        <v/>
      </c>
      <c r="C48" s="51" t="str">
        <f>IF('2. Investicijos'!H13="","",'2. Investicijos'!H13)</f>
        <v/>
      </c>
      <c r="D48" s="47" t="str">
        <f>IF('2. Investicijos'!G13="","",'2. Investicijos'!G13)</f>
        <v/>
      </c>
      <c r="E48" s="52" t="str">
        <f t="shared" si="8"/>
        <v/>
      </c>
      <c r="F48" s="51" t="str">
        <f t="shared" si="9"/>
        <v/>
      </c>
      <c r="G48" s="19">
        <f t="shared" si="10"/>
        <v>2</v>
      </c>
      <c r="H48" s="2"/>
      <c r="I48" s="2"/>
      <c r="J48" s="2"/>
      <c r="K48" s="2"/>
      <c r="L48" s="2"/>
      <c r="M48" s="2"/>
      <c r="N48" s="2"/>
      <c r="O48" s="2"/>
      <c r="P48" s="2"/>
      <c r="Q48" s="2"/>
      <c r="R48" s="2"/>
      <c r="S48" s="2"/>
      <c r="T48" s="2"/>
    </row>
    <row r="49" spans="1:20">
      <c r="A49" s="19" t="str">
        <f>'2. Investicijos'!A14</f>
        <v>10.</v>
      </c>
      <c r="B49" s="19" t="str">
        <f>IF('2. Investicijos'!B14="","",'2. Investicijos'!B14)</f>
        <v/>
      </c>
      <c r="C49" s="51" t="str">
        <f>IF('2. Investicijos'!H14="","",'2. Investicijos'!H14)</f>
        <v/>
      </c>
      <c r="D49" s="47" t="str">
        <f>IF('2. Investicijos'!G14="","",'2. Investicijos'!G14)</f>
        <v/>
      </c>
      <c r="E49" s="52" t="str">
        <f t="shared" si="8"/>
        <v/>
      </c>
      <c r="F49" s="51" t="str">
        <f t="shared" si="9"/>
        <v/>
      </c>
      <c r="G49" s="19">
        <f t="shared" si="10"/>
        <v>2</v>
      </c>
      <c r="H49" s="2"/>
      <c r="I49" s="2"/>
      <c r="J49" s="2"/>
      <c r="K49" s="2"/>
      <c r="L49" s="2"/>
      <c r="M49" s="2"/>
      <c r="N49" s="2"/>
      <c r="O49" s="2"/>
      <c r="P49" s="2"/>
      <c r="Q49" s="2"/>
      <c r="R49" s="2"/>
      <c r="S49" s="2"/>
      <c r="T49" s="2"/>
    </row>
    <row r="50" spans="1:20">
      <c r="A50" s="19" t="str">
        <f>'2. Investicijos'!A15</f>
        <v>11.</v>
      </c>
      <c r="B50" s="19" t="str">
        <f>IF('2. Investicijos'!B15="","",'2. Investicijos'!B15)</f>
        <v/>
      </c>
      <c r="C50" s="51" t="str">
        <f>IF('2. Investicijos'!H15="","",'2. Investicijos'!H15)</f>
        <v/>
      </c>
      <c r="D50" s="47" t="str">
        <f>IF('2. Investicijos'!G15="","",'2. Investicijos'!G15)</f>
        <v/>
      </c>
      <c r="E50" s="52" t="str">
        <f t="shared" si="8"/>
        <v/>
      </c>
      <c r="F50" s="51" t="str">
        <f t="shared" si="9"/>
        <v/>
      </c>
      <c r="G50" s="19">
        <f t="shared" si="10"/>
        <v>2</v>
      </c>
      <c r="H50" s="2"/>
      <c r="I50" s="2"/>
      <c r="J50" s="2"/>
      <c r="K50" s="2"/>
      <c r="L50" s="2"/>
      <c r="M50" s="2"/>
      <c r="N50" s="2"/>
      <c r="O50" s="2"/>
      <c r="P50" s="2"/>
      <c r="Q50" s="2"/>
      <c r="R50" s="2"/>
      <c r="S50" s="2"/>
      <c r="T50" s="2"/>
    </row>
    <row r="51" spans="1:20">
      <c r="A51" s="19" t="str">
        <f>'2. Investicijos'!A16</f>
        <v>12.</v>
      </c>
      <c r="B51" s="19" t="str">
        <f>IF('2. Investicijos'!B16="","",'2. Investicijos'!B16)</f>
        <v/>
      </c>
      <c r="C51" s="51" t="str">
        <f>IF('2. Investicijos'!H16="","",'2. Investicijos'!H16)</f>
        <v/>
      </c>
      <c r="D51" s="47" t="str">
        <f>IF('2. Investicijos'!G16="","",'2. Investicijos'!G16)</f>
        <v/>
      </c>
      <c r="E51" s="52" t="str">
        <f t="shared" si="8"/>
        <v/>
      </c>
      <c r="F51" s="51" t="str">
        <f t="shared" si="9"/>
        <v/>
      </c>
      <c r="G51" s="19">
        <f t="shared" si="10"/>
        <v>2</v>
      </c>
      <c r="H51" s="2"/>
      <c r="I51" s="2"/>
      <c r="J51" s="2"/>
      <c r="K51" s="2"/>
      <c r="L51" s="2"/>
      <c r="M51" s="2"/>
      <c r="N51" s="2"/>
      <c r="O51" s="2"/>
      <c r="P51" s="2"/>
      <c r="Q51" s="2"/>
      <c r="R51" s="2"/>
      <c r="S51" s="2"/>
      <c r="T51" s="2"/>
    </row>
    <row r="52" spans="1:20">
      <c r="A52" s="19" t="str">
        <f>'2. Investicijos'!A17</f>
        <v>13.</v>
      </c>
      <c r="B52" s="19" t="str">
        <f>IF('2. Investicijos'!B17="","",'2. Investicijos'!B17)</f>
        <v/>
      </c>
      <c r="C52" s="51" t="str">
        <f>IF('2. Investicijos'!H17="","",'2. Investicijos'!H17)</f>
        <v/>
      </c>
      <c r="D52" s="47" t="str">
        <f>IF('2. Investicijos'!G17="","",'2. Investicijos'!G17)</f>
        <v/>
      </c>
      <c r="E52" s="52" t="str">
        <f t="shared" si="8"/>
        <v/>
      </c>
      <c r="F52" s="51" t="str">
        <f t="shared" si="9"/>
        <v/>
      </c>
      <c r="G52" s="19">
        <f t="shared" si="10"/>
        <v>2</v>
      </c>
      <c r="H52" s="2"/>
      <c r="I52" s="2"/>
      <c r="J52" s="2"/>
      <c r="K52" s="2"/>
      <c r="L52" s="2"/>
      <c r="M52" s="2"/>
      <c r="N52" s="2"/>
      <c r="O52" s="2"/>
      <c r="P52" s="2"/>
      <c r="Q52" s="2"/>
      <c r="R52" s="2"/>
      <c r="S52" s="2"/>
      <c r="T52" s="2"/>
    </row>
    <row r="53" spans="1:20">
      <c r="A53" s="19" t="str">
        <f>'2. Investicijos'!A18</f>
        <v>14.</v>
      </c>
      <c r="B53" s="19" t="str">
        <f>IF('2. Investicijos'!B18="","",'2. Investicijos'!B18)</f>
        <v/>
      </c>
      <c r="C53" s="51" t="str">
        <f>IF('2. Investicijos'!H18="","",'2. Investicijos'!H18)</f>
        <v/>
      </c>
      <c r="D53" s="47" t="str">
        <f>IF('2. Investicijos'!G18="","",'2. Investicijos'!G18)</f>
        <v/>
      </c>
      <c r="E53" s="52" t="str">
        <f t="shared" si="8"/>
        <v/>
      </c>
      <c r="F53" s="51" t="str">
        <f t="shared" si="9"/>
        <v/>
      </c>
      <c r="G53" s="19">
        <f t="shared" si="10"/>
        <v>2</v>
      </c>
      <c r="H53" s="2"/>
      <c r="I53" s="2"/>
      <c r="J53" s="2"/>
      <c r="K53" s="2"/>
      <c r="L53" s="2"/>
      <c r="M53" s="2"/>
      <c r="N53" s="2"/>
      <c r="O53" s="2"/>
      <c r="P53" s="2"/>
      <c r="Q53" s="2"/>
      <c r="R53" s="2"/>
      <c r="S53" s="2"/>
      <c r="T53" s="2"/>
    </row>
    <row r="54" spans="1:20">
      <c r="A54" s="19" t="str">
        <f>'2. Investicijos'!A19</f>
        <v>15.</v>
      </c>
      <c r="B54" s="19" t="str">
        <f>IF('2. Investicijos'!B19="","",'2. Investicijos'!B19)</f>
        <v/>
      </c>
      <c r="C54" s="51" t="str">
        <f>IF('2. Investicijos'!H19="","",'2. Investicijos'!H19)</f>
        <v/>
      </c>
      <c r="D54" s="47" t="str">
        <f>IF('2. Investicijos'!G19="","",'2. Investicijos'!G19)</f>
        <v/>
      </c>
      <c r="E54" s="52" t="str">
        <f t="shared" si="8"/>
        <v/>
      </c>
      <c r="F54" s="51" t="str">
        <f t="shared" si="9"/>
        <v/>
      </c>
      <c r="G54" s="19">
        <f t="shared" si="10"/>
        <v>2</v>
      </c>
      <c r="H54" s="2"/>
      <c r="I54" s="2"/>
      <c r="J54" s="2"/>
      <c r="K54" s="2"/>
      <c r="L54" s="2"/>
      <c r="M54" s="2"/>
      <c r="N54" s="2"/>
      <c r="O54" s="2"/>
      <c r="P54" s="2"/>
      <c r="Q54" s="2"/>
      <c r="R54" s="2"/>
      <c r="S54" s="2"/>
      <c r="T54" s="2"/>
    </row>
    <row r="55" spans="1:20">
      <c r="A55" s="19" t="str">
        <f>'2. Investicijos'!A20</f>
        <v>16.</v>
      </c>
      <c r="B55" s="19" t="str">
        <f>IF('2. Investicijos'!B20="","",'2. Investicijos'!B20)</f>
        <v/>
      </c>
      <c r="C55" s="51" t="str">
        <f>IF('2. Investicijos'!H20="","",'2. Investicijos'!H20)</f>
        <v/>
      </c>
      <c r="D55" s="47" t="str">
        <f>IF('2. Investicijos'!G20="","",'2. Investicijos'!G20)</f>
        <v/>
      </c>
      <c r="E55" s="52" t="str">
        <f t="shared" si="8"/>
        <v/>
      </c>
      <c r="F55" s="51" t="str">
        <f t="shared" si="9"/>
        <v/>
      </c>
      <c r="G55" s="19">
        <f t="shared" si="10"/>
        <v>2</v>
      </c>
      <c r="H55" s="2"/>
      <c r="I55" s="2"/>
      <c r="J55" s="2"/>
      <c r="K55" s="2"/>
      <c r="L55" s="2"/>
      <c r="M55" s="2"/>
      <c r="N55" s="2"/>
      <c r="O55" s="2"/>
      <c r="P55" s="2"/>
      <c r="Q55" s="2"/>
      <c r="R55" s="2"/>
      <c r="S55" s="2"/>
      <c r="T55" s="2"/>
    </row>
    <row r="56" spans="1:20">
      <c r="A56" s="19" t="str">
        <f>'2. Investicijos'!A21</f>
        <v>17.</v>
      </c>
      <c r="B56" s="19" t="str">
        <f>IF('2. Investicijos'!B21="","",'2. Investicijos'!B21)</f>
        <v/>
      </c>
      <c r="C56" s="51" t="str">
        <f>IF('2. Investicijos'!H21="","",'2. Investicijos'!H21)</f>
        <v/>
      </c>
      <c r="D56" s="47" t="str">
        <f>IF('2. Investicijos'!G21="","",'2. Investicijos'!G21)</f>
        <v/>
      </c>
      <c r="E56" s="52" t="str">
        <f t="shared" si="8"/>
        <v/>
      </c>
      <c r="F56" s="51" t="str">
        <f t="shared" si="9"/>
        <v/>
      </c>
      <c r="G56" s="19">
        <f t="shared" si="10"/>
        <v>2</v>
      </c>
      <c r="H56" s="2"/>
      <c r="I56" s="2"/>
      <c r="J56" s="2"/>
      <c r="K56" s="2"/>
      <c r="L56" s="2"/>
      <c r="M56" s="2"/>
      <c r="N56" s="2"/>
      <c r="O56" s="2"/>
      <c r="P56" s="2"/>
      <c r="Q56" s="2"/>
      <c r="R56" s="2"/>
      <c r="S56" s="2"/>
      <c r="T56" s="2"/>
    </row>
    <row r="57" spans="1:20">
      <c r="A57" s="19" t="str">
        <f>'2. Investicijos'!A22</f>
        <v>18.</v>
      </c>
      <c r="B57" s="19" t="str">
        <f>IF('2. Investicijos'!B22="","",'2. Investicijos'!B22)</f>
        <v/>
      </c>
      <c r="C57" s="51" t="str">
        <f>IF('2. Investicijos'!H22="","",'2. Investicijos'!H22)</f>
        <v/>
      </c>
      <c r="D57" s="47" t="str">
        <f>IF('2. Investicijos'!G22="","",'2. Investicijos'!G22)</f>
        <v/>
      </c>
      <c r="E57" s="52" t="str">
        <f t="shared" si="8"/>
        <v/>
      </c>
      <c r="F57" s="51" t="str">
        <f t="shared" si="9"/>
        <v/>
      </c>
      <c r="G57" s="19">
        <f t="shared" si="10"/>
        <v>2</v>
      </c>
      <c r="H57" s="2"/>
      <c r="I57" s="2"/>
      <c r="J57" s="2"/>
      <c r="K57" s="2"/>
      <c r="L57" s="2"/>
      <c r="M57" s="2"/>
      <c r="N57" s="2"/>
      <c r="O57" s="2"/>
      <c r="P57" s="2"/>
      <c r="Q57" s="2"/>
      <c r="R57" s="2"/>
      <c r="S57" s="2"/>
      <c r="T57" s="2"/>
    </row>
    <row r="58" spans="1:20">
      <c r="A58" s="19" t="str">
        <f>'2. Investicijos'!A23</f>
        <v>19.</v>
      </c>
      <c r="B58" s="19" t="str">
        <f>IF('2. Investicijos'!B23="","",'2. Investicijos'!B23)</f>
        <v/>
      </c>
      <c r="C58" s="51" t="str">
        <f>IF('2. Investicijos'!H23="","",'2. Investicijos'!H23)</f>
        <v/>
      </c>
      <c r="D58" s="47" t="str">
        <f>IF('2. Investicijos'!G23="","",'2. Investicijos'!G23)</f>
        <v/>
      </c>
      <c r="E58" s="52" t="str">
        <f t="shared" si="8"/>
        <v/>
      </c>
      <c r="F58" s="51" t="str">
        <f t="shared" si="9"/>
        <v/>
      </c>
      <c r="G58" s="19">
        <f t="shared" si="10"/>
        <v>2</v>
      </c>
      <c r="H58" s="2"/>
      <c r="I58" s="2"/>
      <c r="J58" s="2"/>
      <c r="K58" s="2"/>
      <c r="L58" s="2"/>
      <c r="M58" s="2"/>
      <c r="N58" s="2"/>
      <c r="O58" s="2"/>
      <c r="P58" s="2"/>
      <c r="Q58" s="2"/>
      <c r="R58" s="2"/>
      <c r="S58" s="2"/>
      <c r="T58" s="2"/>
    </row>
    <row r="59" spans="1:20">
      <c r="A59" s="19" t="str">
        <f>'2. Investicijos'!A24</f>
        <v>20.</v>
      </c>
      <c r="B59" s="19" t="str">
        <f>IF('2. Investicijos'!B24="","",'2. Investicijos'!B24)</f>
        <v/>
      </c>
      <c r="C59" s="51" t="str">
        <f>IF('2. Investicijos'!H24="","",'2. Investicijos'!H24)</f>
        <v/>
      </c>
      <c r="D59" s="47" t="str">
        <f>IF('2. Investicijos'!G24="","",'2. Investicijos'!G24)</f>
        <v/>
      </c>
      <c r="E59" s="52" t="str">
        <f t="shared" si="8"/>
        <v/>
      </c>
      <c r="F59" s="51" t="str">
        <f t="shared" si="9"/>
        <v/>
      </c>
      <c r="G59" s="19">
        <f t="shared" si="10"/>
        <v>2</v>
      </c>
      <c r="H59" s="2"/>
      <c r="I59" s="2"/>
      <c r="J59" s="2"/>
      <c r="K59" s="2"/>
      <c r="L59" s="2"/>
      <c r="M59" s="2"/>
      <c r="N59" s="2"/>
      <c r="O59" s="2"/>
      <c r="P59" s="2"/>
      <c r="Q59" s="2"/>
      <c r="R59" s="2"/>
      <c r="S59" s="2"/>
      <c r="T59" s="2"/>
    </row>
    <row r="60" spans="1:20">
      <c r="A60" s="27" t="s">
        <v>78</v>
      </c>
      <c r="B60" s="27"/>
      <c r="C60" s="27"/>
      <c r="D60" s="27"/>
      <c r="E60" s="27"/>
      <c r="F60" s="53" t="str">
        <f>IF(COUNT(C40:C59)=0,"",SUM(F40:F59))</f>
        <v/>
      </c>
      <c r="G60" s="27"/>
      <c r="H60" s="2"/>
      <c r="I60" s="2"/>
      <c r="J60" s="2"/>
      <c r="K60" s="2"/>
      <c r="L60" s="2"/>
      <c r="M60" s="2"/>
      <c r="N60" s="2"/>
      <c r="O60" s="2"/>
      <c r="P60" s="2"/>
      <c r="Q60" s="2"/>
      <c r="R60" s="2"/>
      <c r="S60" s="2"/>
      <c r="T60" s="2"/>
    </row>
    <row r="61" spans="1:20">
      <c r="A61" s="2"/>
      <c r="B61" s="2"/>
      <c r="C61" s="2"/>
      <c r="D61" s="2"/>
      <c r="E61" s="2"/>
      <c r="F61" s="2"/>
      <c r="G61" s="2"/>
      <c r="H61" s="2"/>
      <c r="I61" s="2"/>
      <c r="J61" s="2"/>
      <c r="K61" s="2"/>
      <c r="L61" s="2"/>
      <c r="M61" s="2"/>
      <c r="N61" s="2"/>
      <c r="O61" s="2"/>
      <c r="P61" s="2"/>
      <c r="Q61" s="2"/>
      <c r="R61" s="2"/>
      <c r="S61" s="2"/>
      <c r="T61" s="2"/>
    </row>
    <row r="62" spans="1:20" ht="14.5">
      <c r="A62" s="6" t="s">
        <v>47</v>
      </c>
      <c r="B62" s="7"/>
      <c r="C62" s="7"/>
      <c r="D62" s="7"/>
      <c r="E62" s="7"/>
      <c r="F62" s="7"/>
      <c r="G62" s="7"/>
      <c r="H62" s="7"/>
      <c r="I62" s="7"/>
      <c r="J62" s="7"/>
      <c r="K62" s="7"/>
      <c r="L62" s="7"/>
      <c r="M62" s="7"/>
      <c r="N62" s="7"/>
      <c r="O62" s="7"/>
      <c r="P62" s="7"/>
      <c r="Q62" s="7"/>
      <c r="R62" s="7"/>
      <c r="S62" s="7"/>
      <c r="T62" s="44"/>
    </row>
    <row r="63" spans="1:20" ht="36">
      <c r="A63" s="8" t="s">
        <v>1</v>
      </c>
      <c r="B63" s="8" t="s">
        <v>48</v>
      </c>
      <c r="C63" s="8" t="s">
        <v>80</v>
      </c>
      <c r="D63" s="8" t="s">
        <v>81</v>
      </c>
      <c r="E63" s="8" t="s">
        <v>25</v>
      </c>
      <c r="F63" s="8" t="s">
        <v>44</v>
      </c>
      <c r="G63" s="8" t="s">
        <v>49</v>
      </c>
      <c r="H63" s="8" t="s">
        <v>318</v>
      </c>
      <c r="I63" s="8" t="s">
        <v>50</v>
      </c>
      <c r="J63" s="8">
        <f>'3. Finansinės prielaidos'!C26</f>
        <v>2026</v>
      </c>
      <c r="K63" s="8">
        <f>'3. Finansinės prielaidos'!D26</f>
        <v>2027</v>
      </c>
      <c r="L63" s="8">
        <f>'3. Finansinės prielaidos'!E26</f>
        <v>2028</v>
      </c>
      <c r="M63" s="8">
        <f>'3. Finansinės prielaidos'!F26</f>
        <v>2029</v>
      </c>
      <c r="N63" s="8">
        <f>'3. Finansinės prielaidos'!G26</f>
        <v>2030</v>
      </c>
      <c r="O63" s="8">
        <f>'3. Finansinės prielaidos'!H26</f>
        <v>2031</v>
      </c>
      <c r="P63" s="8">
        <f>'3. Finansinės prielaidos'!I26</f>
        <v>2032</v>
      </c>
      <c r="Q63" s="8">
        <f>'3. Finansinės prielaidos'!J26</f>
        <v>2033</v>
      </c>
      <c r="R63" s="8">
        <f>'3. Finansinės prielaidos'!K26</f>
        <v>2034</v>
      </c>
      <c r="S63" s="8">
        <f>'3. Finansinės prielaidos'!L26</f>
        <v>2035</v>
      </c>
      <c r="T63" s="45"/>
    </row>
    <row r="64" spans="1:20">
      <c r="A64" s="17">
        <v>0</v>
      </c>
      <c r="B64" s="17" t="str">
        <f t="shared" ref="B64:B84" si="11">IF(A64=0,"Bazė be investicijų","Investicijos 1–"&amp;A64)</f>
        <v>Bazė be investicijų</v>
      </c>
      <c r="C64" s="54" t="str">
        <f>IF(SUM(C40:C59)=0,"",0)</f>
        <v/>
      </c>
      <c r="D64" s="55">
        <f>IF(A64=0,0,SUM($F39:F$40))</f>
        <v>0</v>
      </c>
      <c r="E64" s="17" t="str">
        <f t="shared" ref="E64:E84" si="12">IF(COUNTA(J64:S64)=0,"",IF(COUNTIF(J64:S64,"NEATITINKA")&gt;0,"NEATITINKA",IF(COUNTIF(J64:S64,"ATITINKA")=10,"ATITINKA","")))</f>
        <v/>
      </c>
      <c r="F64" s="17" t="str">
        <f t="shared" ref="F64:F84" si="13">IF(E64&lt;&gt;"NEATITINKA","",INDEX(J$63:S$63,1,MATCH("NEATITINKA",J64:S64,0)))</f>
        <v/>
      </c>
      <c r="G64" s="17" t="str">
        <f>IF(F64="","",IF(SUMIFS('6A. Pagalbiniai skaičiavimai'!$V$30:$V$239,'6A. Pagalbiniai skaičiavimai'!$A$30:$A$239,$A64,'6A. Pagalbiniai skaičiavimai'!$B$30:$B$239,$F64)&gt;5.5,"Net Debt / EBITDA",IF(SUMIFS('6A. Pagalbiniai skaičiavimai'!$W$30:$W$239,'6A. Pagalbiniai skaičiavimai'!$A$30:$A$239,$A64,'6A. Pagalbiniai skaičiavimai'!$B$30:$B$239,$F64)&lt;1.2,"DSCR","Abu")))</f>
        <v/>
      </c>
      <c r="H64" s="56">
        <f>IF(COUNTA('6A. Pagalbiniai skaičiavimai'!$V$30:$V$39)=0,"",MAX('6A. Pagalbiniai skaičiavimai'!$V$30:$V$39))</f>
        <v>0</v>
      </c>
      <c r="I64" s="56">
        <f>IF(COUNTA('6A. Pagalbiniai skaičiavimai'!$W$30:$W$39)=0,"",MIN('6A. Pagalbiniai skaičiavimai'!$W$30:$W$39))</f>
        <v>0</v>
      </c>
      <c r="J64" s="17" t="str">
        <f>'6A. Pagalbiniai skaičiavimai'!$X$30</f>
        <v/>
      </c>
      <c r="K64" s="17" t="str">
        <f>'6A. Pagalbiniai skaičiavimai'!$X$31</f>
        <v/>
      </c>
      <c r="L64" s="17" t="str">
        <f>'6A. Pagalbiniai skaičiavimai'!$X$32</f>
        <v/>
      </c>
      <c r="M64" s="17" t="str">
        <f>'6A. Pagalbiniai skaičiavimai'!$X$33</f>
        <v/>
      </c>
      <c r="N64" s="17" t="str">
        <f>'6A. Pagalbiniai skaičiavimai'!$X$34</f>
        <v/>
      </c>
      <c r="O64" s="17" t="str">
        <f>'6A. Pagalbiniai skaičiavimai'!$X$35</f>
        <v/>
      </c>
      <c r="P64" s="17" t="str">
        <f>'6A. Pagalbiniai skaičiavimai'!$X$36</f>
        <v/>
      </c>
      <c r="Q64" s="17" t="str">
        <f>'6A. Pagalbiniai skaičiavimai'!$X$37</f>
        <v/>
      </c>
      <c r="R64" s="17" t="str">
        <f>'6A. Pagalbiniai skaičiavimai'!$X$38</f>
        <v/>
      </c>
      <c r="S64" s="17" t="str">
        <f>'6A. Pagalbiniai skaičiavimai'!$X$39</f>
        <v/>
      </c>
      <c r="T64" s="3"/>
    </row>
    <row r="65" spans="1:20">
      <c r="A65" s="17">
        <v>1</v>
      </c>
      <c r="B65" s="17" t="str">
        <f t="shared" si="11"/>
        <v>Investicijos 1–1</v>
      </c>
      <c r="C65" s="54" t="str">
        <f>IF(SUM($C$40:C40)=0,"",D65/SUM($C$40:C40))</f>
        <v/>
      </c>
      <c r="D65" s="55">
        <f>IF(A65=0,0,SUM($F$40:F40))</f>
        <v>0</v>
      </c>
      <c r="E65" s="17" t="str">
        <f t="shared" si="12"/>
        <v/>
      </c>
      <c r="F65" s="17" t="str">
        <f t="shared" si="13"/>
        <v/>
      </c>
      <c r="G65" s="17" t="str">
        <f>IF(F65="","",IF(SUMIFS('6A. Pagalbiniai skaičiavimai'!$V$30:$V$239,'6A. Pagalbiniai skaičiavimai'!$A$30:$A$239,$A65,'6A. Pagalbiniai skaičiavimai'!$B$30:$B$239,$F65)&gt;5.5,"Net Debt / EBITDA",IF(SUMIFS('6A. Pagalbiniai skaičiavimai'!$W$30:$W$239,'6A. Pagalbiniai skaičiavimai'!$A$30:$A$239,$A65,'6A. Pagalbiniai skaičiavimai'!$B$30:$B$239,$F65)&lt;1.2,"DSCR","Abu")))</f>
        <v/>
      </c>
      <c r="H65" s="56" t="e">
        <f>IF(COUNTA('6A. Pagalbiniai skaičiavimai'!$V$40:$V$49)=0,"",MAX('6A. Pagalbiniai skaičiavimai'!$V$40:$V$49))</f>
        <v>#VALUE!</v>
      </c>
      <c r="I65" s="56" t="e">
        <f>IF(COUNTA('6A. Pagalbiniai skaičiavimai'!$W$40:$W$49)=0,"",MIN('6A. Pagalbiniai skaičiavimai'!$W$40:$W$49))</f>
        <v>#VALUE!</v>
      </c>
      <c r="J65" s="17" t="e">
        <f>'6A. Pagalbiniai skaičiavimai'!$X$40</f>
        <v>#VALUE!</v>
      </c>
      <c r="K65" s="17" t="e">
        <f>'6A. Pagalbiniai skaičiavimai'!$X$41</f>
        <v>#VALUE!</v>
      </c>
      <c r="L65" s="17" t="e">
        <f>'6A. Pagalbiniai skaičiavimai'!$X$42</f>
        <v>#VALUE!</v>
      </c>
      <c r="M65" s="17" t="e">
        <f>'6A. Pagalbiniai skaičiavimai'!$X$43</f>
        <v>#VALUE!</v>
      </c>
      <c r="N65" s="17" t="e">
        <f>'6A. Pagalbiniai skaičiavimai'!$X$44</f>
        <v>#VALUE!</v>
      </c>
      <c r="O65" s="17" t="e">
        <f>'6A. Pagalbiniai skaičiavimai'!$X$45</f>
        <v>#VALUE!</v>
      </c>
      <c r="P65" s="17" t="e">
        <f>'6A. Pagalbiniai skaičiavimai'!$X$46</f>
        <v>#VALUE!</v>
      </c>
      <c r="Q65" s="17" t="e">
        <f>'6A. Pagalbiniai skaičiavimai'!$X$47</f>
        <v>#VALUE!</v>
      </c>
      <c r="R65" s="17" t="e">
        <f>'6A. Pagalbiniai skaičiavimai'!$X$48</f>
        <v>#VALUE!</v>
      </c>
      <c r="S65" s="17" t="e">
        <f>'6A. Pagalbiniai skaičiavimai'!$X$49</f>
        <v>#VALUE!</v>
      </c>
      <c r="T65" s="3"/>
    </row>
    <row r="66" spans="1:20">
      <c r="A66" s="17">
        <v>2</v>
      </c>
      <c r="B66" s="17" t="str">
        <f t="shared" si="11"/>
        <v>Investicijos 1–2</v>
      </c>
      <c r="C66" s="54" t="str">
        <f>IF(SUM($C$40:C41)=0,"",D66/SUM($C$40:C41))</f>
        <v/>
      </c>
      <c r="D66" s="55">
        <f>IF(A66=0,0,SUM($F$40:F41))</f>
        <v>0</v>
      </c>
      <c r="E66" s="17" t="str">
        <f t="shared" si="12"/>
        <v/>
      </c>
      <c r="F66" s="17" t="str">
        <f t="shared" si="13"/>
        <v/>
      </c>
      <c r="G66" s="17" t="str">
        <f>IF(F66="","",IF(SUMIFS('6A. Pagalbiniai skaičiavimai'!$V$30:$V$239,'6A. Pagalbiniai skaičiavimai'!$A$30:$A$239,$A66,'6A. Pagalbiniai skaičiavimai'!$B$30:$B$239,$F66)&gt;5.5,"Net Debt / EBITDA",IF(SUMIFS('6A. Pagalbiniai skaičiavimai'!$W$30:$W$239,'6A. Pagalbiniai skaičiavimai'!$A$30:$A$239,$A66,'6A. Pagalbiniai skaičiavimai'!$B$30:$B$239,$F66)&lt;1.2,"DSCR","Abu")))</f>
        <v/>
      </c>
      <c r="H66" s="56" t="e">
        <f>IF(COUNTA('6A. Pagalbiniai skaičiavimai'!$V$50:$V$59)=0,"",MAX('6A. Pagalbiniai skaičiavimai'!$V$50:$V$59))</f>
        <v>#VALUE!</v>
      </c>
      <c r="I66" s="56" t="e">
        <f>IF(COUNTA('6A. Pagalbiniai skaičiavimai'!$W$50:$W$59)=0,"",MIN('6A. Pagalbiniai skaičiavimai'!$W$50:$W$59))</f>
        <v>#VALUE!</v>
      </c>
      <c r="J66" s="17" t="e">
        <f>'6A. Pagalbiniai skaičiavimai'!$X$50</f>
        <v>#VALUE!</v>
      </c>
      <c r="K66" s="17" t="e">
        <f>'6A. Pagalbiniai skaičiavimai'!$X$51</f>
        <v>#VALUE!</v>
      </c>
      <c r="L66" s="17" t="e">
        <f>'6A. Pagalbiniai skaičiavimai'!$X$52</f>
        <v>#VALUE!</v>
      </c>
      <c r="M66" s="17" t="e">
        <f>'6A. Pagalbiniai skaičiavimai'!$X$53</f>
        <v>#VALUE!</v>
      </c>
      <c r="N66" s="17" t="e">
        <f>'6A. Pagalbiniai skaičiavimai'!$X$54</f>
        <v>#VALUE!</v>
      </c>
      <c r="O66" s="17" t="e">
        <f>'6A. Pagalbiniai skaičiavimai'!$X$55</f>
        <v>#VALUE!</v>
      </c>
      <c r="P66" s="17" t="e">
        <f>'6A. Pagalbiniai skaičiavimai'!$X$56</f>
        <v>#VALUE!</v>
      </c>
      <c r="Q66" s="17" t="e">
        <f>'6A. Pagalbiniai skaičiavimai'!$X$57</f>
        <v>#VALUE!</v>
      </c>
      <c r="R66" s="17" t="e">
        <f>'6A. Pagalbiniai skaičiavimai'!$X$58</f>
        <v>#VALUE!</v>
      </c>
      <c r="S66" s="17" t="e">
        <f>'6A. Pagalbiniai skaičiavimai'!$X$59</f>
        <v>#VALUE!</v>
      </c>
      <c r="T66" s="3"/>
    </row>
    <row r="67" spans="1:20">
      <c r="A67" s="17">
        <v>3</v>
      </c>
      <c r="B67" s="17" t="str">
        <f t="shared" si="11"/>
        <v>Investicijos 1–3</v>
      </c>
      <c r="C67" s="54" t="str">
        <f>IF(SUM($C$40:C42)=0,"",D67/SUM($C$40:C42))</f>
        <v/>
      </c>
      <c r="D67" s="55">
        <f>IF(A67=0,0,SUM($F$40:F42))</f>
        <v>0</v>
      </c>
      <c r="E67" s="17" t="str">
        <f t="shared" si="12"/>
        <v/>
      </c>
      <c r="F67" s="17" t="str">
        <f t="shared" si="13"/>
        <v/>
      </c>
      <c r="G67" s="17" t="str">
        <f>IF(F67="","",IF(SUMIFS('6A. Pagalbiniai skaičiavimai'!$V$30:$V$239,'6A. Pagalbiniai skaičiavimai'!$A$30:$A$239,$A67,'6A. Pagalbiniai skaičiavimai'!$B$30:$B$239,$F67)&gt;5.5,"Net Debt / EBITDA",IF(SUMIFS('6A. Pagalbiniai skaičiavimai'!$W$30:$W$239,'6A. Pagalbiniai skaičiavimai'!$A$30:$A$239,$A67,'6A. Pagalbiniai skaičiavimai'!$B$30:$B$239,$F67)&lt;1.2,"DSCR","Abu")))</f>
        <v/>
      </c>
      <c r="H67" s="56" t="e">
        <f>IF(COUNTA('6A. Pagalbiniai skaičiavimai'!$V$60:$V$69)=0,"",MAX('6A. Pagalbiniai skaičiavimai'!$V$60:$V$69))</f>
        <v>#VALUE!</v>
      </c>
      <c r="I67" s="56" t="e">
        <f>IF(COUNTA('6A. Pagalbiniai skaičiavimai'!$W$60:$W$69)=0,"",MIN('6A. Pagalbiniai skaičiavimai'!$W$60:$W$69))</f>
        <v>#VALUE!</v>
      </c>
      <c r="J67" s="17" t="e">
        <f>'6A. Pagalbiniai skaičiavimai'!$X$60</f>
        <v>#VALUE!</v>
      </c>
      <c r="K67" s="17" t="e">
        <f>'6A. Pagalbiniai skaičiavimai'!$X$61</f>
        <v>#VALUE!</v>
      </c>
      <c r="L67" s="17" t="e">
        <f>'6A. Pagalbiniai skaičiavimai'!$X$62</f>
        <v>#VALUE!</v>
      </c>
      <c r="M67" s="17" t="e">
        <f>'6A. Pagalbiniai skaičiavimai'!$X$63</f>
        <v>#VALUE!</v>
      </c>
      <c r="N67" s="17" t="e">
        <f>'6A. Pagalbiniai skaičiavimai'!$X$64</f>
        <v>#VALUE!</v>
      </c>
      <c r="O67" s="17" t="e">
        <f>'6A. Pagalbiniai skaičiavimai'!$X$65</f>
        <v>#VALUE!</v>
      </c>
      <c r="P67" s="17" t="e">
        <f>'6A. Pagalbiniai skaičiavimai'!$X$66</f>
        <v>#VALUE!</v>
      </c>
      <c r="Q67" s="17" t="e">
        <f>'6A. Pagalbiniai skaičiavimai'!$X$67</f>
        <v>#VALUE!</v>
      </c>
      <c r="R67" s="17" t="e">
        <f>'6A. Pagalbiniai skaičiavimai'!$X$68</f>
        <v>#VALUE!</v>
      </c>
      <c r="S67" s="17" t="e">
        <f>'6A. Pagalbiniai skaičiavimai'!$X$69</f>
        <v>#VALUE!</v>
      </c>
      <c r="T67" s="3"/>
    </row>
    <row r="68" spans="1:20">
      <c r="A68" s="17">
        <v>4</v>
      </c>
      <c r="B68" s="17" t="str">
        <f t="shared" si="11"/>
        <v>Investicijos 1–4</v>
      </c>
      <c r="C68" s="54" t="str">
        <f>IF(SUM($C$40:C43)=0,"",D68/SUM($C$40:C43))</f>
        <v/>
      </c>
      <c r="D68" s="55">
        <f>IF(A68=0,0,SUM($F$40:F43))</f>
        <v>0</v>
      </c>
      <c r="E68" s="17" t="str">
        <f t="shared" si="12"/>
        <v/>
      </c>
      <c r="F68" s="17" t="str">
        <f t="shared" si="13"/>
        <v/>
      </c>
      <c r="G68" s="17" t="str">
        <f>IF(F68="","",IF(SUMIFS('6A. Pagalbiniai skaičiavimai'!$V$30:$V$239,'6A. Pagalbiniai skaičiavimai'!$A$30:$A$239,$A68,'6A. Pagalbiniai skaičiavimai'!$B$30:$B$239,$F68)&gt;5.5,"Net Debt / EBITDA",IF(SUMIFS('6A. Pagalbiniai skaičiavimai'!$W$30:$W$239,'6A. Pagalbiniai skaičiavimai'!$A$30:$A$239,$A68,'6A. Pagalbiniai skaičiavimai'!$B$30:$B$239,$F68)&lt;1.2,"DSCR","Abu")))</f>
        <v/>
      </c>
      <c r="H68" s="56" t="e">
        <f>IF(COUNTA('6A. Pagalbiniai skaičiavimai'!$V$70:$V$79)=0,"",MAX('6A. Pagalbiniai skaičiavimai'!$V$70:$V$79))</f>
        <v>#VALUE!</v>
      </c>
      <c r="I68" s="56" t="e">
        <f>IF(COUNTA('6A. Pagalbiniai skaičiavimai'!$W$70:$W$79)=0,"",MIN('6A. Pagalbiniai skaičiavimai'!$W$70:$W$79))</f>
        <v>#VALUE!</v>
      </c>
      <c r="J68" s="17" t="e">
        <f>'6A. Pagalbiniai skaičiavimai'!$X$70</f>
        <v>#VALUE!</v>
      </c>
      <c r="K68" s="17" t="e">
        <f>'6A. Pagalbiniai skaičiavimai'!$X$71</f>
        <v>#VALUE!</v>
      </c>
      <c r="L68" s="17" t="e">
        <f>'6A. Pagalbiniai skaičiavimai'!$X$72</f>
        <v>#VALUE!</v>
      </c>
      <c r="M68" s="17" t="e">
        <f>'6A. Pagalbiniai skaičiavimai'!$X$73</f>
        <v>#VALUE!</v>
      </c>
      <c r="N68" s="17" t="e">
        <f>'6A. Pagalbiniai skaičiavimai'!$X$74</f>
        <v>#VALUE!</v>
      </c>
      <c r="O68" s="17" t="e">
        <f>'6A. Pagalbiniai skaičiavimai'!$X$75</f>
        <v>#VALUE!</v>
      </c>
      <c r="P68" s="17" t="e">
        <f>'6A. Pagalbiniai skaičiavimai'!$X$76</f>
        <v>#VALUE!</v>
      </c>
      <c r="Q68" s="17" t="e">
        <f>'6A. Pagalbiniai skaičiavimai'!$X$77</f>
        <v>#VALUE!</v>
      </c>
      <c r="R68" s="17" t="e">
        <f>'6A. Pagalbiniai skaičiavimai'!$X$78</f>
        <v>#VALUE!</v>
      </c>
      <c r="S68" s="17" t="e">
        <f>'6A. Pagalbiniai skaičiavimai'!$X$79</f>
        <v>#VALUE!</v>
      </c>
      <c r="T68" s="3"/>
    </row>
    <row r="69" spans="1:20">
      <c r="A69" s="17">
        <v>5</v>
      </c>
      <c r="B69" s="17" t="str">
        <f t="shared" si="11"/>
        <v>Investicijos 1–5</v>
      </c>
      <c r="C69" s="54" t="str">
        <f>IF(SUM($C$40:C44)=0,"",D69/SUM($C$40:C44))</f>
        <v/>
      </c>
      <c r="D69" s="55">
        <f>IF(A69=0,0,SUM($F$40:F44))</f>
        <v>0</v>
      </c>
      <c r="E69" s="17" t="str">
        <f t="shared" si="12"/>
        <v/>
      </c>
      <c r="F69" s="17" t="str">
        <f t="shared" si="13"/>
        <v/>
      </c>
      <c r="G69" s="17" t="str">
        <f>IF(F69="","",IF(SUMIFS('6A. Pagalbiniai skaičiavimai'!$V$30:$V$239,'6A. Pagalbiniai skaičiavimai'!$A$30:$A$239,$A69,'6A. Pagalbiniai skaičiavimai'!$B$30:$B$239,$F69)&gt;5.5,"Net Debt / EBITDA",IF(SUMIFS('6A. Pagalbiniai skaičiavimai'!$W$30:$W$239,'6A. Pagalbiniai skaičiavimai'!$A$30:$A$239,$A69,'6A. Pagalbiniai skaičiavimai'!$B$30:$B$239,$F69)&lt;1.2,"DSCR","Abu")))</f>
        <v/>
      </c>
      <c r="H69" s="56" t="e">
        <f>IF(COUNTA('6A. Pagalbiniai skaičiavimai'!$V$80:$V$89)=0,"",MAX('6A. Pagalbiniai skaičiavimai'!$V$80:$V$89))</f>
        <v>#VALUE!</v>
      </c>
      <c r="I69" s="56" t="e">
        <f>IF(COUNTA('6A. Pagalbiniai skaičiavimai'!$W$80:$W$89)=0,"",MIN('6A. Pagalbiniai skaičiavimai'!$W$80:$W$89))</f>
        <v>#VALUE!</v>
      </c>
      <c r="J69" s="17" t="e">
        <f>'6A. Pagalbiniai skaičiavimai'!$X$80</f>
        <v>#VALUE!</v>
      </c>
      <c r="K69" s="17" t="e">
        <f>'6A. Pagalbiniai skaičiavimai'!$X$81</f>
        <v>#VALUE!</v>
      </c>
      <c r="L69" s="17" t="e">
        <f>'6A. Pagalbiniai skaičiavimai'!$X$82</f>
        <v>#VALUE!</v>
      </c>
      <c r="M69" s="17" t="e">
        <f>'6A. Pagalbiniai skaičiavimai'!$X$83</f>
        <v>#VALUE!</v>
      </c>
      <c r="N69" s="17" t="e">
        <f>'6A. Pagalbiniai skaičiavimai'!$X$84</f>
        <v>#VALUE!</v>
      </c>
      <c r="O69" s="17" t="e">
        <f>'6A. Pagalbiniai skaičiavimai'!$X$85</f>
        <v>#VALUE!</v>
      </c>
      <c r="P69" s="17" t="e">
        <f>'6A. Pagalbiniai skaičiavimai'!$X$86</f>
        <v>#VALUE!</v>
      </c>
      <c r="Q69" s="17" t="e">
        <f>'6A. Pagalbiniai skaičiavimai'!$X$87</f>
        <v>#VALUE!</v>
      </c>
      <c r="R69" s="17" t="e">
        <f>'6A. Pagalbiniai skaičiavimai'!$X$88</f>
        <v>#VALUE!</v>
      </c>
      <c r="S69" s="17" t="e">
        <f>'6A. Pagalbiniai skaičiavimai'!$X$89</f>
        <v>#VALUE!</v>
      </c>
      <c r="T69" s="3"/>
    </row>
    <row r="70" spans="1:20">
      <c r="A70" s="17">
        <v>6</v>
      </c>
      <c r="B70" s="17" t="str">
        <f t="shared" si="11"/>
        <v>Investicijos 1–6</v>
      </c>
      <c r="C70" s="54" t="str">
        <f>IF(SUM($C$40:C45)=0,"",D70/SUM($C$40:C45))</f>
        <v/>
      </c>
      <c r="D70" s="55">
        <f>IF(A70=0,0,SUM($F$40:F45))</f>
        <v>0</v>
      </c>
      <c r="E70" s="17" t="str">
        <f t="shared" si="12"/>
        <v/>
      </c>
      <c r="F70" s="17" t="str">
        <f t="shared" si="13"/>
        <v/>
      </c>
      <c r="G70" s="17" t="str">
        <f>IF(F70="","",IF(SUMIFS('6A. Pagalbiniai skaičiavimai'!$V$30:$V$239,'6A. Pagalbiniai skaičiavimai'!$A$30:$A$239,$A70,'6A. Pagalbiniai skaičiavimai'!$B$30:$B$239,$F70)&gt;5.5,"Net Debt / EBITDA",IF(SUMIFS('6A. Pagalbiniai skaičiavimai'!$W$30:$W$239,'6A. Pagalbiniai skaičiavimai'!$A$30:$A$239,$A70,'6A. Pagalbiniai skaičiavimai'!$B$30:$B$239,$F70)&lt;1.2,"DSCR","Abu")))</f>
        <v/>
      </c>
      <c r="H70" s="56" t="e">
        <f>IF(COUNTA('6A. Pagalbiniai skaičiavimai'!$V$90:$V$99)=0,"",MAX('6A. Pagalbiniai skaičiavimai'!$V$90:$V$99))</f>
        <v>#VALUE!</v>
      </c>
      <c r="I70" s="56" t="e">
        <f>IF(COUNTA('6A. Pagalbiniai skaičiavimai'!$W$90:$W$99)=0,"",MIN('6A. Pagalbiniai skaičiavimai'!$W$90:$W$99))</f>
        <v>#VALUE!</v>
      </c>
      <c r="J70" s="17" t="e">
        <f>'6A. Pagalbiniai skaičiavimai'!$X$90</f>
        <v>#VALUE!</v>
      </c>
      <c r="K70" s="17" t="e">
        <f>'6A. Pagalbiniai skaičiavimai'!$X$91</f>
        <v>#VALUE!</v>
      </c>
      <c r="L70" s="17" t="e">
        <f>'6A. Pagalbiniai skaičiavimai'!$X$92</f>
        <v>#VALUE!</v>
      </c>
      <c r="M70" s="17" t="e">
        <f>'6A. Pagalbiniai skaičiavimai'!$X$93</f>
        <v>#VALUE!</v>
      </c>
      <c r="N70" s="17" t="e">
        <f>'6A. Pagalbiniai skaičiavimai'!$X$94</f>
        <v>#VALUE!</v>
      </c>
      <c r="O70" s="17" t="e">
        <f>'6A. Pagalbiniai skaičiavimai'!$X$95</f>
        <v>#VALUE!</v>
      </c>
      <c r="P70" s="17" t="e">
        <f>'6A. Pagalbiniai skaičiavimai'!$X$96</f>
        <v>#VALUE!</v>
      </c>
      <c r="Q70" s="17" t="e">
        <f>'6A. Pagalbiniai skaičiavimai'!$X$97</f>
        <v>#VALUE!</v>
      </c>
      <c r="R70" s="17" t="e">
        <f>'6A. Pagalbiniai skaičiavimai'!$X$98</f>
        <v>#VALUE!</v>
      </c>
      <c r="S70" s="17" t="e">
        <f>'6A. Pagalbiniai skaičiavimai'!$X$99</f>
        <v>#VALUE!</v>
      </c>
      <c r="T70" s="3"/>
    </row>
    <row r="71" spans="1:20">
      <c r="A71" s="17">
        <v>7</v>
      </c>
      <c r="B71" s="17" t="str">
        <f t="shared" si="11"/>
        <v>Investicijos 1–7</v>
      </c>
      <c r="C71" s="54" t="str">
        <f>IF(SUM($C$40:C46)=0,"",D71/SUM($C$40:C46))</f>
        <v/>
      </c>
      <c r="D71" s="55">
        <f>IF(A71=0,0,SUM($F$40:F46))</f>
        <v>0</v>
      </c>
      <c r="E71" s="17" t="str">
        <f t="shared" si="12"/>
        <v/>
      </c>
      <c r="F71" s="17" t="str">
        <f t="shared" si="13"/>
        <v/>
      </c>
      <c r="G71" s="17" t="str">
        <f>IF(F71="","",IF(SUMIFS('6A. Pagalbiniai skaičiavimai'!$V$30:$V$239,'6A. Pagalbiniai skaičiavimai'!$A$30:$A$239,$A71,'6A. Pagalbiniai skaičiavimai'!$B$30:$B$239,$F71)&gt;5.5,"Net Debt / EBITDA",IF(SUMIFS('6A. Pagalbiniai skaičiavimai'!$W$30:$W$239,'6A. Pagalbiniai skaičiavimai'!$A$30:$A$239,$A71,'6A. Pagalbiniai skaičiavimai'!$B$30:$B$239,$F71)&lt;1.2,"DSCR","Abu")))</f>
        <v/>
      </c>
      <c r="H71" s="56" t="e">
        <f>IF(COUNTA('6A. Pagalbiniai skaičiavimai'!$V$100:$V$109)=0,"",MAX('6A. Pagalbiniai skaičiavimai'!$V$100:$V$109))</f>
        <v>#VALUE!</v>
      </c>
      <c r="I71" s="56" t="e">
        <f>IF(COUNTA('6A. Pagalbiniai skaičiavimai'!$W$100:$W$109)=0,"",MIN('6A. Pagalbiniai skaičiavimai'!$W$100:$W$109))</f>
        <v>#VALUE!</v>
      </c>
      <c r="J71" s="17" t="e">
        <f>'6A. Pagalbiniai skaičiavimai'!$X$100</f>
        <v>#VALUE!</v>
      </c>
      <c r="K71" s="17" t="e">
        <f>'6A. Pagalbiniai skaičiavimai'!$X$101</f>
        <v>#VALUE!</v>
      </c>
      <c r="L71" s="17" t="e">
        <f>'6A. Pagalbiniai skaičiavimai'!$X$102</f>
        <v>#VALUE!</v>
      </c>
      <c r="M71" s="17" t="e">
        <f>'6A. Pagalbiniai skaičiavimai'!$X$103</f>
        <v>#VALUE!</v>
      </c>
      <c r="N71" s="17" t="e">
        <f>'6A. Pagalbiniai skaičiavimai'!$X$104</f>
        <v>#VALUE!</v>
      </c>
      <c r="O71" s="17" t="e">
        <f>'6A. Pagalbiniai skaičiavimai'!$X$105</f>
        <v>#VALUE!</v>
      </c>
      <c r="P71" s="17" t="e">
        <f>'6A. Pagalbiniai skaičiavimai'!$X$106</f>
        <v>#VALUE!</v>
      </c>
      <c r="Q71" s="17" t="e">
        <f>'6A. Pagalbiniai skaičiavimai'!$X$107</f>
        <v>#VALUE!</v>
      </c>
      <c r="R71" s="17" t="e">
        <f>'6A. Pagalbiniai skaičiavimai'!$X$108</f>
        <v>#VALUE!</v>
      </c>
      <c r="S71" s="17" t="e">
        <f>'6A. Pagalbiniai skaičiavimai'!$X$109</f>
        <v>#VALUE!</v>
      </c>
      <c r="T71" s="3"/>
    </row>
    <row r="72" spans="1:20">
      <c r="A72" s="17">
        <v>8</v>
      </c>
      <c r="B72" s="17" t="str">
        <f t="shared" si="11"/>
        <v>Investicijos 1–8</v>
      </c>
      <c r="C72" s="54" t="str">
        <f>IF(SUM($C$40:C47)=0,"",D72/SUM($C$40:C47))</f>
        <v/>
      </c>
      <c r="D72" s="55">
        <f>IF(A72=0,0,SUM($F$40:F47))</f>
        <v>0</v>
      </c>
      <c r="E72" s="17" t="str">
        <f t="shared" si="12"/>
        <v/>
      </c>
      <c r="F72" s="17" t="str">
        <f t="shared" si="13"/>
        <v/>
      </c>
      <c r="G72" s="17" t="str">
        <f>IF(F72="","",IF(SUMIFS('6A. Pagalbiniai skaičiavimai'!$V$30:$V$239,'6A. Pagalbiniai skaičiavimai'!$A$30:$A$239,$A72,'6A. Pagalbiniai skaičiavimai'!$B$30:$B$239,$F72)&gt;5.5,"Net Debt / EBITDA",IF(SUMIFS('6A. Pagalbiniai skaičiavimai'!$W$30:$W$239,'6A. Pagalbiniai skaičiavimai'!$A$30:$A$239,$A72,'6A. Pagalbiniai skaičiavimai'!$B$30:$B$239,$F72)&lt;1.2,"DSCR","Abu")))</f>
        <v/>
      </c>
      <c r="H72" s="56" t="e">
        <f>IF(COUNTA('6A. Pagalbiniai skaičiavimai'!$V$110:$V$119)=0,"",MAX('6A. Pagalbiniai skaičiavimai'!$V$110:$V$119))</f>
        <v>#VALUE!</v>
      </c>
      <c r="I72" s="56" t="e">
        <f>IF(COUNTA('6A. Pagalbiniai skaičiavimai'!$W$110:$W$119)=0,"",MIN('6A. Pagalbiniai skaičiavimai'!$W$110:$W$119))</f>
        <v>#VALUE!</v>
      </c>
      <c r="J72" s="17" t="e">
        <f>'6A. Pagalbiniai skaičiavimai'!$X$110</f>
        <v>#VALUE!</v>
      </c>
      <c r="K72" s="17" t="e">
        <f>'6A. Pagalbiniai skaičiavimai'!$X$111</f>
        <v>#VALUE!</v>
      </c>
      <c r="L72" s="17" t="e">
        <f>'6A. Pagalbiniai skaičiavimai'!$X$112</f>
        <v>#VALUE!</v>
      </c>
      <c r="M72" s="17" t="e">
        <f>'6A. Pagalbiniai skaičiavimai'!$X$113</f>
        <v>#VALUE!</v>
      </c>
      <c r="N72" s="17" t="e">
        <f>'6A. Pagalbiniai skaičiavimai'!$X$114</f>
        <v>#VALUE!</v>
      </c>
      <c r="O72" s="17" t="e">
        <f>'6A. Pagalbiniai skaičiavimai'!$X$115</f>
        <v>#VALUE!</v>
      </c>
      <c r="P72" s="17" t="e">
        <f>'6A. Pagalbiniai skaičiavimai'!$X$116</f>
        <v>#VALUE!</v>
      </c>
      <c r="Q72" s="17" t="e">
        <f>'6A. Pagalbiniai skaičiavimai'!$X$117</f>
        <v>#VALUE!</v>
      </c>
      <c r="R72" s="17" t="e">
        <f>'6A. Pagalbiniai skaičiavimai'!$X$118</f>
        <v>#VALUE!</v>
      </c>
      <c r="S72" s="17" t="e">
        <f>'6A. Pagalbiniai skaičiavimai'!$X$119</f>
        <v>#VALUE!</v>
      </c>
      <c r="T72" s="3"/>
    </row>
    <row r="73" spans="1:20">
      <c r="A73" s="17">
        <v>9</v>
      </c>
      <c r="B73" s="17" t="str">
        <f t="shared" si="11"/>
        <v>Investicijos 1–9</v>
      </c>
      <c r="C73" s="54" t="str">
        <f>IF(SUM($C$40:C48)=0,"",D73/SUM($C$40:C48))</f>
        <v/>
      </c>
      <c r="D73" s="55">
        <f>IF(A73=0,0,SUM($F$40:F48))</f>
        <v>0</v>
      </c>
      <c r="E73" s="17" t="str">
        <f t="shared" si="12"/>
        <v/>
      </c>
      <c r="F73" s="17" t="str">
        <f t="shared" si="13"/>
        <v/>
      </c>
      <c r="G73" s="17" t="str">
        <f>IF(F73="","",IF(SUMIFS('6A. Pagalbiniai skaičiavimai'!$V$30:$V$239,'6A. Pagalbiniai skaičiavimai'!$A$30:$A$239,$A73,'6A. Pagalbiniai skaičiavimai'!$B$30:$B$239,$F73)&gt;5.5,"Net Debt / EBITDA",IF(SUMIFS('6A. Pagalbiniai skaičiavimai'!$W$30:$W$239,'6A. Pagalbiniai skaičiavimai'!$A$30:$A$239,$A73,'6A. Pagalbiniai skaičiavimai'!$B$30:$B$239,$F73)&lt;1.2,"DSCR","Abu")))</f>
        <v/>
      </c>
      <c r="H73" s="56" t="e">
        <f>IF(COUNTA('6A. Pagalbiniai skaičiavimai'!$V$120:$V$129)=0,"",MAX('6A. Pagalbiniai skaičiavimai'!$V$120:$V$129))</f>
        <v>#VALUE!</v>
      </c>
      <c r="I73" s="56" t="e">
        <f>IF(COUNTA('6A. Pagalbiniai skaičiavimai'!$W$120:$W$129)=0,"",MIN('6A. Pagalbiniai skaičiavimai'!$W$120:$W$129))</f>
        <v>#VALUE!</v>
      </c>
      <c r="J73" s="17" t="e">
        <f>'6A. Pagalbiniai skaičiavimai'!$X$120</f>
        <v>#VALUE!</v>
      </c>
      <c r="K73" s="17" t="e">
        <f>'6A. Pagalbiniai skaičiavimai'!$X$121</f>
        <v>#VALUE!</v>
      </c>
      <c r="L73" s="17" t="e">
        <f>'6A. Pagalbiniai skaičiavimai'!$X$122</f>
        <v>#VALUE!</v>
      </c>
      <c r="M73" s="17" t="e">
        <f>'6A. Pagalbiniai skaičiavimai'!$X$123</f>
        <v>#VALUE!</v>
      </c>
      <c r="N73" s="17" t="e">
        <f>'6A. Pagalbiniai skaičiavimai'!$X$124</f>
        <v>#VALUE!</v>
      </c>
      <c r="O73" s="17" t="e">
        <f>'6A. Pagalbiniai skaičiavimai'!$X$125</f>
        <v>#VALUE!</v>
      </c>
      <c r="P73" s="17" t="e">
        <f>'6A. Pagalbiniai skaičiavimai'!$X$126</f>
        <v>#VALUE!</v>
      </c>
      <c r="Q73" s="17" t="e">
        <f>'6A. Pagalbiniai skaičiavimai'!$X$127</f>
        <v>#VALUE!</v>
      </c>
      <c r="R73" s="17" t="e">
        <f>'6A. Pagalbiniai skaičiavimai'!$X$128</f>
        <v>#VALUE!</v>
      </c>
      <c r="S73" s="17" t="e">
        <f>'6A. Pagalbiniai skaičiavimai'!$X$129</f>
        <v>#VALUE!</v>
      </c>
      <c r="T73" s="3"/>
    </row>
    <row r="74" spans="1:20">
      <c r="A74" s="17">
        <v>10</v>
      </c>
      <c r="B74" s="17" t="str">
        <f t="shared" si="11"/>
        <v>Investicijos 1–10</v>
      </c>
      <c r="C74" s="54" t="str">
        <f>IF(SUM($C$40:C49)=0,"",D74/SUM($C$40:C49))</f>
        <v/>
      </c>
      <c r="D74" s="55">
        <f>IF(A74=0,0,SUM($F$40:F49))</f>
        <v>0</v>
      </c>
      <c r="E74" s="17" t="str">
        <f t="shared" si="12"/>
        <v/>
      </c>
      <c r="F74" s="17" t="str">
        <f t="shared" si="13"/>
        <v/>
      </c>
      <c r="G74" s="17" t="str">
        <f>IF(F74="","",IF(SUMIFS('6A. Pagalbiniai skaičiavimai'!$V$30:$V$239,'6A. Pagalbiniai skaičiavimai'!$A$30:$A$239,$A74,'6A. Pagalbiniai skaičiavimai'!$B$30:$B$239,$F74)&gt;5.5,"Net Debt / EBITDA",IF(SUMIFS('6A. Pagalbiniai skaičiavimai'!$W$30:$W$239,'6A. Pagalbiniai skaičiavimai'!$A$30:$A$239,$A74,'6A. Pagalbiniai skaičiavimai'!$B$30:$B$239,$F74)&lt;1.2,"DSCR","Abu")))</f>
        <v/>
      </c>
      <c r="H74" s="56" t="e">
        <f>IF(COUNTA('6A. Pagalbiniai skaičiavimai'!$V$130:$V$139)=0,"",MAX('6A. Pagalbiniai skaičiavimai'!$V$130:$V$139))</f>
        <v>#VALUE!</v>
      </c>
      <c r="I74" s="56" t="e">
        <f>IF(COUNTA('6A. Pagalbiniai skaičiavimai'!$W$130:$W$139)=0,"",MIN('6A. Pagalbiniai skaičiavimai'!$W$130:$W$139))</f>
        <v>#VALUE!</v>
      </c>
      <c r="J74" s="17" t="e">
        <f>'6A. Pagalbiniai skaičiavimai'!$X$130</f>
        <v>#VALUE!</v>
      </c>
      <c r="K74" s="17" t="e">
        <f>'6A. Pagalbiniai skaičiavimai'!$X$131</f>
        <v>#VALUE!</v>
      </c>
      <c r="L74" s="17" t="e">
        <f>'6A. Pagalbiniai skaičiavimai'!$X$132</f>
        <v>#VALUE!</v>
      </c>
      <c r="M74" s="17" t="e">
        <f>'6A. Pagalbiniai skaičiavimai'!$X$133</f>
        <v>#VALUE!</v>
      </c>
      <c r="N74" s="17" t="e">
        <f>'6A. Pagalbiniai skaičiavimai'!$X$134</f>
        <v>#VALUE!</v>
      </c>
      <c r="O74" s="17" t="e">
        <f>'6A. Pagalbiniai skaičiavimai'!$X$135</f>
        <v>#VALUE!</v>
      </c>
      <c r="P74" s="17" t="e">
        <f>'6A. Pagalbiniai skaičiavimai'!$X$136</f>
        <v>#VALUE!</v>
      </c>
      <c r="Q74" s="17" t="e">
        <f>'6A. Pagalbiniai skaičiavimai'!$X$137</f>
        <v>#VALUE!</v>
      </c>
      <c r="R74" s="17" t="e">
        <f>'6A. Pagalbiniai skaičiavimai'!$X$138</f>
        <v>#VALUE!</v>
      </c>
      <c r="S74" s="17" t="e">
        <f>'6A. Pagalbiniai skaičiavimai'!$X$139</f>
        <v>#VALUE!</v>
      </c>
      <c r="T74" s="3"/>
    </row>
    <row r="75" spans="1:20">
      <c r="A75" s="17">
        <v>11</v>
      </c>
      <c r="B75" s="17" t="str">
        <f t="shared" si="11"/>
        <v>Investicijos 1–11</v>
      </c>
      <c r="C75" s="54" t="str">
        <f>IF(SUM($C$40:C50)=0,"",D75/SUM($C$40:C50))</f>
        <v/>
      </c>
      <c r="D75" s="55">
        <f>IF(A75=0,0,SUM($F$40:F50))</f>
        <v>0</v>
      </c>
      <c r="E75" s="17" t="str">
        <f t="shared" si="12"/>
        <v/>
      </c>
      <c r="F75" s="17" t="str">
        <f t="shared" si="13"/>
        <v/>
      </c>
      <c r="G75" s="17" t="str">
        <f>IF(F75="","",IF(SUMIFS('6A. Pagalbiniai skaičiavimai'!$V$30:$V$239,'6A. Pagalbiniai skaičiavimai'!$A$30:$A$239,$A75,'6A. Pagalbiniai skaičiavimai'!$B$30:$B$239,$F75)&gt;5.5,"Net Debt / EBITDA",IF(SUMIFS('6A. Pagalbiniai skaičiavimai'!$W$30:$W$239,'6A. Pagalbiniai skaičiavimai'!$A$30:$A$239,$A75,'6A. Pagalbiniai skaičiavimai'!$B$30:$B$239,$F75)&lt;1.2,"DSCR","Abu")))</f>
        <v/>
      </c>
      <c r="H75" s="56" t="e">
        <f>IF(COUNTA('6A. Pagalbiniai skaičiavimai'!$V$140:$V$149)=0,"",MAX('6A. Pagalbiniai skaičiavimai'!$V$140:$V$149))</f>
        <v>#VALUE!</v>
      </c>
      <c r="I75" s="56" t="e">
        <f>IF(COUNTA('6A. Pagalbiniai skaičiavimai'!$W$140:$W$149)=0,"",MIN('6A. Pagalbiniai skaičiavimai'!$W$140:$W$149))</f>
        <v>#VALUE!</v>
      </c>
      <c r="J75" s="17" t="e">
        <f>'6A. Pagalbiniai skaičiavimai'!$X$140</f>
        <v>#VALUE!</v>
      </c>
      <c r="K75" s="17" t="e">
        <f>'6A. Pagalbiniai skaičiavimai'!$X$141</f>
        <v>#VALUE!</v>
      </c>
      <c r="L75" s="17" t="e">
        <f>'6A. Pagalbiniai skaičiavimai'!$X$142</f>
        <v>#VALUE!</v>
      </c>
      <c r="M75" s="17" t="e">
        <f>'6A. Pagalbiniai skaičiavimai'!$X$143</f>
        <v>#VALUE!</v>
      </c>
      <c r="N75" s="17" t="e">
        <f>'6A. Pagalbiniai skaičiavimai'!$X$144</f>
        <v>#VALUE!</v>
      </c>
      <c r="O75" s="17" t="e">
        <f>'6A. Pagalbiniai skaičiavimai'!$X$145</f>
        <v>#VALUE!</v>
      </c>
      <c r="P75" s="17" t="e">
        <f>'6A. Pagalbiniai skaičiavimai'!$X$146</f>
        <v>#VALUE!</v>
      </c>
      <c r="Q75" s="17" t="e">
        <f>'6A. Pagalbiniai skaičiavimai'!$X$147</f>
        <v>#VALUE!</v>
      </c>
      <c r="R75" s="17" t="e">
        <f>'6A. Pagalbiniai skaičiavimai'!$X$148</f>
        <v>#VALUE!</v>
      </c>
      <c r="S75" s="17" t="e">
        <f>'6A. Pagalbiniai skaičiavimai'!$X$149</f>
        <v>#VALUE!</v>
      </c>
      <c r="T75" s="3"/>
    </row>
    <row r="76" spans="1:20">
      <c r="A76" s="17">
        <v>12</v>
      </c>
      <c r="B76" s="17" t="str">
        <f t="shared" si="11"/>
        <v>Investicijos 1–12</v>
      </c>
      <c r="C76" s="54" t="str">
        <f>IF(SUM($C$40:C51)=0,"",D76/SUM($C$40:C51))</f>
        <v/>
      </c>
      <c r="D76" s="55">
        <f>IF(A76=0,0,SUM($F$40:F51))</f>
        <v>0</v>
      </c>
      <c r="E76" s="17" t="str">
        <f t="shared" si="12"/>
        <v/>
      </c>
      <c r="F76" s="17" t="str">
        <f t="shared" si="13"/>
        <v/>
      </c>
      <c r="G76" s="17" t="str">
        <f>IF(F76="","",IF(SUMIFS('6A. Pagalbiniai skaičiavimai'!$V$30:$V$239,'6A. Pagalbiniai skaičiavimai'!$A$30:$A$239,$A76,'6A. Pagalbiniai skaičiavimai'!$B$30:$B$239,$F76)&gt;5.5,"Net Debt / EBITDA",IF(SUMIFS('6A. Pagalbiniai skaičiavimai'!$W$30:$W$239,'6A. Pagalbiniai skaičiavimai'!$A$30:$A$239,$A76,'6A. Pagalbiniai skaičiavimai'!$B$30:$B$239,$F76)&lt;1.2,"DSCR","Abu")))</f>
        <v/>
      </c>
      <c r="H76" s="56" t="e">
        <f>IF(COUNTA('6A. Pagalbiniai skaičiavimai'!$V$150:$V$159)=0,"",MAX('6A. Pagalbiniai skaičiavimai'!$V$150:$V$159))</f>
        <v>#VALUE!</v>
      </c>
      <c r="I76" s="56" t="e">
        <f>IF(COUNTA('6A. Pagalbiniai skaičiavimai'!$W$150:$W$159)=0,"",MIN('6A. Pagalbiniai skaičiavimai'!$W$150:$W$159))</f>
        <v>#VALUE!</v>
      </c>
      <c r="J76" s="17" t="e">
        <f>'6A. Pagalbiniai skaičiavimai'!$X$150</f>
        <v>#VALUE!</v>
      </c>
      <c r="K76" s="17" t="e">
        <f>'6A. Pagalbiniai skaičiavimai'!$X$151</f>
        <v>#VALUE!</v>
      </c>
      <c r="L76" s="17" t="e">
        <f>'6A. Pagalbiniai skaičiavimai'!$X$152</f>
        <v>#VALUE!</v>
      </c>
      <c r="M76" s="17" t="e">
        <f>'6A. Pagalbiniai skaičiavimai'!$X$153</f>
        <v>#VALUE!</v>
      </c>
      <c r="N76" s="17" t="e">
        <f>'6A. Pagalbiniai skaičiavimai'!$X$154</f>
        <v>#VALUE!</v>
      </c>
      <c r="O76" s="17" t="e">
        <f>'6A. Pagalbiniai skaičiavimai'!$X$155</f>
        <v>#VALUE!</v>
      </c>
      <c r="P76" s="17" t="e">
        <f>'6A. Pagalbiniai skaičiavimai'!$X$156</f>
        <v>#VALUE!</v>
      </c>
      <c r="Q76" s="17" t="e">
        <f>'6A. Pagalbiniai skaičiavimai'!$X$157</f>
        <v>#VALUE!</v>
      </c>
      <c r="R76" s="17" t="e">
        <f>'6A. Pagalbiniai skaičiavimai'!$X$158</f>
        <v>#VALUE!</v>
      </c>
      <c r="S76" s="17" t="e">
        <f>'6A. Pagalbiniai skaičiavimai'!$X$159</f>
        <v>#VALUE!</v>
      </c>
      <c r="T76" s="3"/>
    </row>
    <row r="77" spans="1:20">
      <c r="A77" s="17">
        <v>13</v>
      </c>
      <c r="B77" s="17" t="str">
        <f t="shared" si="11"/>
        <v>Investicijos 1–13</v>
      </c>
      <c r="C77" s="54" t="str">
        <f>IF(SUM($C$40:C52)=0,"",D77/SUM($C$40:C52))</f>
        <v/>
      </c>
      <c r="D77" s="55">
        <f>IF(A77=0,0,SUM($F$40:F52))</f>
        <v>0</v>
      </c>
      <c r="E77" s="17" t="str">
        <f t="shared" si="12"/>
        <v/>
      </c>
      <c r="F77" s="17" t="str">
        <f t="shared" si="13"/>
        <v/>
      </c>
      <c r="G77" s="17" t="str">
        <f>IF(F77="","",IF(SUMIFS('6A. Pagalbiniai skaičiavimai'!$V$30:$V$239,'6A. Pagalbiniai skaičiavimai'!$A$30:$A$239,$A77,'6A. Pagalbiniai skaičiavimai'!$B$30:$B$239,$F77)&gt;5.5,"Net Debt / EBITDA",IF(SUMIFS('6A. Pagalbiniai skaičiavimai'!$W$30:$W$239,'6A. Pagalbiniai skaičiavimai'!$A$30:$A$239,$A77,'6A. Pagalbiniai skaičiavimai'!$B$30:$B$239,$F77)&lt;1.2,"DSCR","Abu")))</f>
        <v/>
      </c>
      <c r="H77" s="56" t="e">
        <f>IF(COUNTA('6A. Pagalbiniai skaičiavimai'!$V$160:$V$169)=0,"",MAX('6A. Pagalbiniai skaičiavimai'!$V$160:$V$169))</f>
        <v>#VALUE!</v>
      </c>
      <c r="I77" s="56" t="e">
        <f>IF(COUNTA('6A. Pagalbiniai skaičiavimai'!$W$160:$W$169)=0,"",MIN('6A. Pagalbiniai skaičiavimai'!$W$160:$W$169))</f>
        <v>#VALUE!</v>
      </c>
      <c r="J77" s="17" t="e">
        <f>'6A. Pagalbiniai skaičiavimai'!$X$160</f>
        <v>#VALUE!</v>
      </c>
      <c r="K77" s="17" t="e">
        <f>'6A. Pagalbiniai skaičiavimai'!$X$161</f>
        <v>#VALUE!</v>
      </c>
      <c r="L77" s="17" t="e">
        <f>'6A. Pagalbiniai skaičiavimai'!$X$162</f>
        <v>#VALUE!</v>
      </c>
      <c r="M77" s="17" t="e">
        <f>'6A. Pagalbiniai skaičiavimai'!$X$163</f>
        <v>#VALUE!</v>
      </c>
      <c r="N77" s="17" t="e">
        <f>'6A. Pagalbiniai skaičiavimai'!$X$164</f>
        <v>#VALUE!</v>
      </c>
      <c r="O77" s="17" t="e">
        <f>'6A. Pagalbiniai skaičiavimai'!$X$165</f>
        <v>#VALUE!</v>
      </c>
      <c r="P77" s="17" t="e">
        <f>'6A. Pagalbiniai skaičiavimai'!$X$166</f>
        <v>#VALUE!</v>
      </c>
      <c r="Q77" s="17" t="e">
        <f>'6A. Pagalbiniai skaičiavimai'!$X$167</f>
        <v>#VALUE!</v>
      </c>
      <c r="R77" s="17" t="e">
        <f>'6A. Pagalbiniai skaičiavimai'!$X$168</f>
        <v>#VALUE!</v>
      </c>
      <c r="S77" s="17" t="e">
        <f>'6A. Pagalbiniai skaičiavimai'!$X$169</f>
        <v>#VALUE!</v>
      </c>
      <c r="T77" s="3"/>
    </row>
    <row r="78" spans="1:20">
      <c r="A78" s="17">
        <v>14</v>
      </c>
      <c r="B78" s="17" t="str">
        <f t="shared" si="11"/>
        <v>Investicijos 1–14</v>
      </c>
      <c r="C78" s="54" t="str">
        <f>IF(SUM($C$40:C53)=0,"",D78/SUM($C$40:C53))</f>
        <v/>
      </c>
      <c r="D78" s="55">
        <f>IF(A78=0,0,SUM($F$40:F53))</f>
        <v>0</v>
      </c>
      <c r="E78" s="17" t="str">
        <f t="shared" si="12"/>
        <v/>
      </c>
      <c r="F78" s="17" t="str">
        <f t="shared" si="13"/>
        <v/>
      </c>
      <c r="G78" s="17" t="str">
        <f>IF(F78="","",IF(SUMIFS('6A. Pagalbiniai skaičiavimai'!$V$30:$V$239,'6A. Pagalbiniai skaičiavimai'!$A$30:$A$239,$A78,'6A. Pagalbiniai skaičiavimai'!$B$30:$B$239,$F78)&gt;5.5,"Net Debt / EBITDA",IF(SUMIFS('6A. Pagalbiniai skaičiavimai'!$W$30:$W$239,'6A. Pagalbiniai skaičiavimai'!$A$30:$A$239,$A78,'6A. Pagalbiniai skaičiavimai'!$B$30:$B$239,$F78)&lt;1.2,"DSCR","Abu")))</f>
        <v/>
      </c>
      <c r="H78" s="56" t="e">
        <f>IF(COUNTA('6A. Pagalbiniai skaičiavimai'!$V$170:$V$179)=0,"",MAX('6A. Pagalbiniai skaičiavimai'!$V$170:$V$179))</f>
        <v>#VALUE!</v>
      </c>
      <c r="I78" s="56" t="e">
        <f>IF(COUNTA('6A. Pagalbiniai skaičiavimai'!$W$170:$W$179)=0,"",MIN('6A. Pagalbiniai skaičiavimai'!$W$170:$W$179))</f>
        <v>#VALUE!</v>
      </c>
      <c r="J78" s="17" t="e">
        <f>'6A. Pagalbiniai skaičiavimai'!$X$170</f>
        <v>#VALUE!</v>
      </c>
      <c r="K78" s="17" t="e">
        <f>'6A. Pagalbiniai skaičiavimai'!$X$171</f>
        <v>#VALUE!</v>
      </c>
      <c r="L78" s="17" t="e">
        <f>'6A. Pagalbiniai skaičiavimai'!$X$172</f>
        <v>#VALUE!</v>
      </c>
      <c r="M78" s="17" t="e">
        <f>'6A. Pagalbiniai skaičiavimai'!$X$173</f>
        <v>#VALUE!</v>
      </c>
      <c r="N78" s="17" t="e">
        <f>'6A. Pagalbiniai skaičiavimai'!$X$174</f>
        <v>#VALUE!</v>
      </c>
      <c r="O78" s="17" t="e">
        <f>'6A. Pagalbiniai skaičiavimai'!$X$175</f>
        <v>#VALUE!</v>
      </c>
      <c r="P78" s="17" t="e">
        <f>'6A. Pagalbiniai skaičiavimai'!$X$176</f>
        <v>#VALUE!</v>
      </c>
      <c r="Q78" s="17" t="e">
        <f>'6A. Pagalbiniai skaičiavimai'!$X$177</f>
        <v>#VALUE!</v>
      </c>
      <c r="R78" s="17" t="e">
        <f>'6A. Pagalbiniai skaičiavimai'!$X$178</f>
        <v>#VALUE!</v>
      </c>
      <c r="S78" s="17" t="e">
        <f>'6A. Pagalbiniai skaičiavimai'!$X$179</f>
        <v>#VALUE!</v>
      </c>
      <c r="T78" s="3"/>
    </row>
    <row r="79" spans="1:20">
      <c r="A79" s="17">
        <v>15</v>
      </c>
      <c r="B79" s="17" t="str">
        <f t="shared" si="11"/>
        <v>Investicijos 1–15</v>
      </c>
      <c r="C79" s="54" t="str">
        <f>IF(SUM($C$40:C54)=0,"",D79/SUM($C$40:C54))</f>
        <v/>
      </c>
      <c r="D79" s="55">
        <f>IF(A79=0,0,SUM($F$40:F54))</f>
        <v>0</v>
      </c>
      <c r="E79" s="17" t="str">
        <f t="shared" si="12"/>
        <v/>
      </c>
      <c r="F79" s="17" t="str">
        <f t="shared" si="13"/>
        <v/>
      </c>
      <c r="G79" s="17" t="str">
        <f>IF(F79="","",IF(SUMIFS('6A. Pagalbiniai skaičiavimai'!$V$30:$V$239,'6A. Pagalbiniai skaičiavimai'!$A$30:$A$239,$A79,'6A. Pagalbiniai skaičiavimai'!$B$30:$B$239,$F79)&gt;5.5,"Net Debt / EBITDA",IF(SUMIFS('6A. Pagalbiniai skaičiavimai'!$W$30:$W$239,'6A. Pagalbiniai skaičiavimai'!$A$30:$A$239,$A79,'6A. Pagalbiniai skaičiavimai'!$B$30:$B$239,$F79)&lt;1.2,"DSCR","Abu")))</f>
        <v/>
      </c>
      <c r="H79" s="56" t="e">
        <f>IF(COUNTA('6A. Pagalbiniai skaičiavimai'!$V$180:$V$189)=0,"",MAX('6A. Pagalbiniai skaičiavimai'!$V$180:$V$189))</f>
        <v>#VALUE!</v>
      </c>
      <c r="I79" s="56" t="e">
        <f>IF(COUNTA('6A. Pagalbiniai skaičiavimai'!$W$180:$W$189)=0,"",MIN('6A. Pagalbiniai skaičiavimai'!$W$180:$W$189))</f>
        <v>#VALUE!</v>
      </c>
      <c r="J79" s="17" t="e">
        <f>'6A. Pagalbiniai skaičiavimai'!$X$180</f>
        <v>#VALUE!</v>
      </c>
      <c r="K79" s="17" t="e">
        <f>'6A. Pagalbiniai skaičiavimai'!$X$181</f>
        <v>#VALUE!</v>
      </c>
      <c r="L79" s="17" t="e">
        <f>'6A. Pagalbiniai skaičiavimai'!$X$182</f>
        <v>#VALUE!</v>
      </c>
      <c r="M79" s="17" t="e">
        <f>'6A. Pagalbiniai skaičiavimai'!$X$183</f>
        <v>#VALUE!</v>
      </c>
      <c r="N79" s="17" t="e">
        <f>'6A. Pagalbiniai skaičiavimai'!$X$184</f>
        <v>#VALUE!</v>
      </c>
      <c r="O79" s="17" t="e">
        <f>'6A. Pagalbiniai skaičiavimai'!$X$185</f>
        <v>#VALUE!</v>
      </c>
      <c r="P79" s="17" t="e">
        <f>'6A. Pagalbiniai skaičiavimai'!$X$186</f>
        <v>#VALUE!</v>
      </c>
      <c r="Q79" s="17" t="e">
        <f>'6A. Pagalbiniai skaičiavimai'!$X$187</f>
        <v>#VALUE!</v>
      </c>
      <c r="R79" s="17" t="e">
        <f>'6A. Pagalbiniai skaičiavimai'!$X$188</f>
        <v>#VALUE!</v>
      </c>
      <c r="S79" s="17" t="e">
        <f>'6A. Pagalbiniai skaičiavimai'!$X$189</f>
        <v>#VALUE!</v>
      </c>
      <c r="T79" s="3"/>
    </row>
    <row r="80" spans="1:20">
      <c r="A80" s="17">
        <v>16</v>
      </c>
      <c r="B80" s="17" t="str">
        <f t="shared" si="11"/>
        <v>Investicijos 1–16</v>
      </c>
      <c r="C80" s="54" t="str">
        <f>IF(SUM($C$40:C55)=0,"",D80/SUM($C$40:C55))</f>
        <v/>
      </c>
      <c r="D80" s="55">
        <f>IF(A80=0,0,SUM($F$40:F55))</f>
        <v>0</v>
      </c>
      <c r="E80" s="17" t="str">
        <f t="shared" si="12"/>
        <v/>
      </c>
      <c r="F80" s="17" t="str">
        <f t="shared" si="13"/>
        <v/>
      </c>
      <c r="G80" s="17" t="str">
        <f>IF(F80="","",IF(SUMIFS('6A. Pagalbiniai skaičiavimai'!$V$30:$V$239,'6A. Pagalbiniai skaičiavimai'!$A$30:$A$239,$A80,'6A. Pagalbiniai skaičiavimai'!$B$30:$B$239,$F80)&gt;5.5,"Net Debt / EBITDA",IF(SUMIFS('6A. Pagalbiniai skaičiavimai'!$W$30:$W$239,'6A. Pagalbiniai skaičiavimai'!$A$30:$A$239,$A80,'6A. Pagalbiniai skaičiavimai'!$B$30:$B$239,$F80)&lt;1.2,"DSCR","Abu")))</f>
        <v/>
      </c>
      <c r="H80" s="56" t="e">
        <f>IF(COUNTA('6A. Pagalbiniai skaičiavimai'!$V$190:$V$199)=0,"",MAX('6A. Pagalbiniai skaičiavimai'!$V$190:$V$199))</f>
        <v>#VALUE!</v>
      </c>
      <c r="I80" s="56" t="e">
        <f>IF(COUNTA('6A. Pagalbiniai skaičiavimai'!$W$190:$W$199)=0,"",MIN('6A. Pagalbiniai skaičiavimai'!$W$190:$W$199))</f>
        <v>#VALUE!</v>
      </c>
      <c r="J80" s="17" t="e">
        <f>'6A. Pagalbiniai skaičiavimai'!$X$190</f>
        <v>#VALUE!</v>
      </c>
      <c r="K80" s="17" t="e">
        <f>'6A. Pagalbiniai skaičiavimai'!$X$191</f>
        <v>#VALUE!</v>
      </c>
      <c r="L80" s="17" t="e">
        <f>'6A. Pagalbiniai skaičiavimai'!$X$192</f>
        <v>#VALUE!</v>
      </c>
      <c r="M80" s="17" t="e">
        <f>'6A. Pagalbiniai skaičiavimai'!$X$193</f>
        <v>#VALUE!</v>
      </c>
      <c r="N80" s="17" t="e">
        <f>'6A. Pagalbiniai skaičiavimai'!$X$194</f>
        <v>#VALUE!</v>
      </c>
      <c r="O80" s="17" t="e">
        <f>'6A. Pagalbiniai skaičiavimai'!$X$195</f>
        <v>#VALUE!</v>
      </c>
      <c r="P80" s="17" t="e">
        <f>'6A. Pagalbiniai skaičiavimai'!$X$196</f>
        <v>#VALUE!</v>
      </c>
      <c r="Q80" s="17" t="e">
        <f>'6A. Pagalbiniai skaičiavimai'!$X$197</f>
        <v>#VALUE!</v>
      </c>
      <c r="R80" s="17" t="e">
        <f>'6A. Pagalbiniai skaičiavimai'!$X$198</f>
        <v>#VALUE!</v>
      </c>
      <c r="S80" s="17" t="e">
        <f>'6A. Pagalbiniai skaičiavimai'!$X$199</f>
        <v>#VALUE!</v>
      </c>
      <c r="T80" s="3"/>
    </row>
    <row r="81" spans="1:20">
      <c r="A81" s="17">
        <v>17</v>
      </c>
      <c r="B81" s="17" t="str">
        <f t="shared" si="11"/>
        <v>Investicijos 1–17</v>
      </c>
      <c r="C81" s="54" t="str">
        <f>IF(SUM($C$40:C56)=0,"",D81/SUM($C$40:C56))</f>
        <v/>
      </c>
      <c r="D81" s="55">
        <f>IF(A81=0,0,SUM($F$40:F56))</f>
        <v>0</v>
      </c>
      <c r="E81" s="17" t="str">
        <f t="shared" si="12"/>
        <v/>
      </c>
      <c r="F81" s="17" t="str">
        <f t="shared" si="13"/>
        <v/>
      </c>
      <c r="G81" s="17" t="str">
        <f>IF(F81="","",IF(SUMIFS('6A. Pagalbiniai skaičiavimai'!$V$30:$V$239,'6A. Pagalbiniai skaičiavimai'!$A$30:$A$239,$A81,'6A. Pagalbiniai skaičiavimai'!$B$30:$B$239,$F81)&gt;5.5,"Net Debt / EBITDA",IF(SUMIFS('6A. Pagalbiniai skaičiavimai'!$W$30:$W$239,'6A. Pagalbiniai skaičiavimai'!$A$30:$A$239,$A81,'6A. Pagalbiniai skaičiavimai'!$B$30:$B$239,$F81)&lt;1.2,"DSCR","Abu")))</f>
        <v/>
      </c>
      <c r="H81" s="56" t="e">
        <f>IF(COUNTA('6A. Pagalbiniai skaičiavimai'!$V$200:$V$209)=0,"",MAX('6A. Pagalbiniai skaičiavimai'!$V$200:$V$209))</f>
        <v>#VALUE!</v>
      </c>
      <c r="I81" s="56" t="e">
        <f>IF(COUNTA('6A. Pagalbiniai skaičiavimai'!$W$200:$W$209)=0,"",MIN('6A. Pagalbiniai skaičiavimai'!$W$200:$W$209))</f>
        <v>#VALUE!</v>
      </c>
      <c r="J81" s="17" t="e">
        <f>'6A. Pagalbiniai skaičiavimai'!$X$200</f>
        <v>#VALUE!</v>
      </c>
      <c r="K81" s="17" t="e">
        <f>'6A. Pagalbiniai skaičiavimai'!$X$201</f>
        <v>#VALUE!</v>
      </c>
      <c r="L81" s="17" t="e">
        <f>'6A. Pagalbiniai skaičiavimai'!$X$202</f>
        <v>#VALUE!</v>
      </c>
      <c r="M81" s="17" t="e">
        <f>'6A. Pagalbiniai skaičiavimai'!$X$203</f>
        <v>#VALUE!</v>
      </c>
      <c r="N81" s="17" t="e">
        <f>'6A. Pagalbiniai skaičiavimai'!$X$204</f>
        <v>#VALUE!</v>
      </c>
      <c r="O81" s="17" t="e">
        <f>'6A. Pagalbiniai skaičiavimai'!$X$205</f>
        <v>#VALUE!</v>
      </c>
      <c r="P81" s="17" t="e">
        <f>'6A. Pagalbiniai skaičiavimai'!$X$206</f>
        <v>#VALUE!</v>
      </c>
      <c r="Q81" s="17" t="e">
        <f>'6A. Pagalbiniai skaičiavimai'!$X$207</f>
        <v>#VALUE!</v>
      </c>
      <c r="R81" s="17" t="e">
        <f>'6A. Pagalbiniai skaičiavimai'!$X$208</f>
        <v>#VALUE!</v>
      </c>
      <c r="S81" s="17" t="e">
        <f>'6A. Pagalbiniai skaičiavimai'!$X$209</f>
        <v>#VALUE!</v>
      </c>
      <c r="T81" s="3"/>
    </row>
    <row r="82" spans="1:20">
      <c r="A82" s="17">
        <v>18</v>
      </c>
      <c r="B82" s="17" t="str">
        <f t="shared" si="11"/>
        <v>Investicijos 1–18</v>
      </c>
      <c r="C82" s="54" t="str">
        <f>IF(SUM($C$40:C57)=0,"",D82/SUM($C$40:C57))</f>
        <v/>
      </c>
      <c r="D82" s="55">
        <f>IF(A82=0,0,SUM($F$40:F57))</f>
        <v>0</v>
      </c>
      <c r="E82" s="17" t="str">
        <f t="shared" si="12"/>
        <v/>
      </c>
      <c r="F82" s="17" t="str">
        <f t="shared" si="13"/>
        <v/>
      </c>
      <c r="G82" s="17" t="str">
        <f>IF(F82="","",IF(SUMIFS('6A. Pagalbiniai skaičiavimai'!$V$30:$V$239,'6A. Pagalbiniai skaičiavimai'!$A$30:$A$239,$A82,'6A. Pagalbiniai skaičiavimai'!$B$30:$B$239,$F82)&gt;5.5,"Net Debt / EBITDA",IF(SUMIFS('6A. Pagalbiniai skaičiavimai'!$W$30:$W$239,'6A. Pagalbiniai skaičiavimai'!$A$30:$A$239,$A82,'6A. Pagalbiniai skaičiavimai'!$B$30:$B$239,$F82)&lt;1.2,"DSCR","Abu")))</f>
        <v/>
      </c>
      <c r="H82" s="56" t="e">
        <f>IF(COUNTA('6A. Pagalbiniai skaičiavimai'!$V$210:$V$219)=0,"",MAX('6A. Pagalbiniai skaičiavimai'!$V$210:$V$219))</f>
        <v>#VALUE!</v>
      </c>
      <c r="I82" s="56" t="e">
        <f>IF(COUNTA('6A. Pagalbiniai skaičiavimai'!$W$210:$W$219)=0,"",MIN('6A. Pagalbiniai skaičiavimai'!$W$210:$W$219))</f>
        <v>#VALUE!</v>
      </c>
      <c r="J82" s="17" t="e">
        <f>'6A. Pagalbiniai skaičiavimai'!$X$210</f>
        <v>#VALUE!</v>
      </c>
      <c r="K82" s="17" t="e">
        <f>'6A. Pagalbiniai skaičiavimai'!$X$211</f>
        <v>#VALUE!</v>
      </c>
      <c r="L82" s="17" t="e">
        <f>'6A. Pagalbiniai skaičiavimai'!$X$212</f>
        <v>#VALUE!</v>
      </c>
      <c r="M82" s="17" t="e">
        <f>'6A. Pagalbiniai skaičiavimai'!$X$213</f>
        <v>#VALUE!</v>
      </c>
      <c r="N82" s="17" t="e">
        <f>'6A. Pagalbiniai skaičiavimai'!$X$214</f>
        <v>#VALUE!</v>
      </c>
      <c r="O82" s="17" t="e">
        <f>'6A. Pagalbiniai skaičiavimai'!$X$215</f>
        <v>#VALUE!</v>
      </c>
      <c r="P82" s="17" t="e">
        <f>'6A. Pagalbiniai skaičiavimai'!$X$216</f>
        <v>#VALUE!</v>
      </c>
      <c r="Q82" s="17" t="e">
        <f>'6A. Pagalbiniai skaičiavimai'!$X$217</f>
        <v>#VALUE!</v>
      </c>
      <c r="R82" s="17" t="e">
        <f>'6A. Pagalbiniai skaičiavimai'!$X$218</f>
        <v>#VALUE!</v>
      </c>
      <c r="S82" s="17" t="e">
        <f>'6A. Pagalbiniai skaičiavimai'!$X$219</f>
        <v>#VALUE!</v>
      </c>
      <c r="T82" s="3"/>
    </row>
    <row r="83" spans="1:20">
      <c r="A83" s="17">
        <v>19</v>
      </c>
      <c r="B83" s="17" t="str">
        <f t="shared" si="11"/>
        <v>Investicijos 1–19</v>
      </c>
      <c r="C83" s="54" t="str">
        <f>IF(SUM($C$40:C58)=0,"",D83/SUM($C$40:C58))</f>
        <v/>
      </c>
      <c r="D83" s="55">
        <f>IF(A83=0,0,SUM($F$40:F58))</f>
        <v>0</v>
      </c>
      <c r="E83" s="17" t="str">
        <f t="shared" si="12"/>
        <v/>
      </c>
      <c r="F83" s="17" t="str">
        <f t="shared" si="13"/>
        <v/>
      </c>
      <c r="G83" s="17" t="str">
        <f>IF(F83="","",IF(SUMIFS('6A. Pagalbiniai skaičiavimai'!$V$30:$V$239,'6A. Pagalbiniai skaičiavimai'!$A$30:$A$239,$A83,'6A. Pagalbiniai skaičiavimai'!$B$30:$B$239,$F83)&gt;5.5,"Net Debt / EBITDA",IF(SUMIFS('6A. Pagalbiniai skaičiavimai'!$W$30:$W$239,'6A. Pagalbiniai skaičiavimai'!$A$30:$A$239,$A83,'6A. Pagalbiniai skaičiavimai'!$B$30:$B$239,$F83)&lt;1.2,"DSCR","Abu")))</f>
        <v/>
      </c>
      <c r="H83" s="56" t="e">
        <f>IF(COUNTA('6A. Pagalbiniai skaičiavimai'!$V$220:$V$229)=0,"",MAX('6A. Pagalbiniai skaičiavimai'!$V$220:$V$229))</f>
        <v>#VALUE!</v>
      </c>
      <c r="I83" s="56" t="e">
        <f>IF(COUNTA('6A. Pagalbiniai skaičiavimai'!$W$220:$W$229)=0,"",MIN('6A. Pagalbiniai skaičiavimai'!$W$220:$W$229))</f>
        <v>#VALUE!</v>
      </c>
      <c r="J83" s="17" t="e">
        <f>'6A. Pagalbiniai skaičiavimai'!$X$220</f>
        <v>#VALUE!</v>
      </c>
      <c r="K83" s="17" t="e">
        <f>'6A. Pagalbiniai skaičiavimai'!$X$221</f>
        <v>#VALUE!</v>
      </c>
      <c r="L83" s="17" t="e">
        <f>'6A. Pagalbiniai skaičiavimai'!$X$222</f>
        <v>#VALUE!</v>
      </c>
      <c r="M83" s="17" t="e">
        <f>'6A. Pagalbiniai skaičiavimai'!$X$223</f>
        <v>#VALUE!</v>
      </c>
      <c r="N83" s="17" t="e">
        <f>'6A. Pagalbiniai skaičiavimai'!$X$224</f>
        <v>#VALUE!</v>
      </c>
      <c r="O83" s="17" t="e">
        <f>'6A. Pagalbiniai skaičiavimai'!$X$225</f>
        <v>#VALUE!</v>
      </c>
      <c r="P83" s="17" t="e">
        <f>'6A. Pagalbiniai skaičiavimai'!$X$226</f>
        <v>#VALUE!</v>
      </c>
      <c r="Q83" s="17" t="e">
        <f>'6A. Pagalbiniai skaičiavimai'!$X$227</f>
        <v>#VALUE!</v>
      </c>
      <c r="R83" s="17" t="e">
        <f>'6A. Pagalbiniai skaičiavimai'!$X$228</f>
        <v>#VALUE!</v>
      </c>
      <c r="S83" s="17" t="e">
        <f>'6A. Pagalbiniai skaičiavimai'!$X$229</f>
        <v>#VALUE!</v>
      </c>
      <c r="T83" s="3"/>
    </row>
    <row r="84" spans="1:20">
      <c r="A84" s="17">
        <v>20</v>
      </c>
      <c r="B84" s="17" t="str">
        <f t="shared" si="11"/>
        <v>Investicijos 1–20</v>
      </c>
      <c r="C84" s="54" t="str">
        <f>IF(SUM($C$40:C59)=0,"",D84/SUM($C$40:C59))</f>
        <v/>
      </c>
      <c r="D84" s="55">
        <f>IF(A84=0,0,SUM($F$40:F59))</f>
        <v>0</v>
      </c>
      <c r="E84" s="17" t="str">
        <f t="shared" si="12"/>
        <v/>
      </c>
      <c r="F84" s="17" t="str">
        <f t="shared" si="13"/>
        <v/>
      </c>
      <c r="G84" s="17" t="str">
        <f>IF(F84="","",IF(SUMIFS('6A. Pagalbiniai skaičiavimai'!$V$30:$V$239,'6A. Pagalbiniai skaičiavimai'!$A$30:$A$239,$A84,'6A. Pagalbiniai skaičiavimai'!$B$30:$B$239,$F84)&gt;5.5,"Net Debt / EBITDA",IF(SUMIFS('6A. Pagalbiniai skaičiavimai'!$W$30:$W$239,'6A. Pagalbiniai skaičiavimai'!$A$30:$A$239,$A84,'6A. Pagalbiniai skaičiavimai'!$B$30:$B$239,$F84)&lt;1.2,"DSCR","Abu")))</f>
        <v/>
      </c>
      <c r="H84" s="56" t="e">
        <f>IF(COUNTA('6A. Pagalbiniai skaičiavimai'!$V$230:$V$239)=0,"",MAX('6A. Pagalbiniai skaičiavimai'!$V$230:$V$239))</f>
        <v>#VALUE!</v>
      </c>
      <c r="I84" s="56" t="e">
        <f>IF(COUNTA('6A. Pagalbiniai skaičiavimai'!$W$230:$W$239)=0,"",MIN('6A. Pagalbiniai skaičiavimai'!$W$230:$W$239))</f>
        <v>#VALUE!</v>
      </c>
      <c r="J84" s="17" t="e">
        <f>'6A. Pagalbiniai skaičiavimai'!$X$230</f>
        <v>#VALUE!</v>
      </c>
      <c r="K84" s="17" t="e">
        <f>'6A. Pagalbiniai skaičiavimai'!$X$231</f>
        <v>#VALUE!</v>
      </c>
      <c r="L84" s="17" t="e">
        <f>'6A. Pagalbiniai skaičiavimai'!$X$232</f>
        <v>#VALUE!</v>
      </c>
      <c r="M84" s="17" t="e">
        <f>'6A. Pagalbiniai skaičiavimai'!$X$233</f>
        <v>#VALUE!</v>
      </c>
      <c r="N84" s="17" t="e">
        <f>'6A. Pagalbiniai skaičiavimai'!$X$234</f>
        <v>#VALUE!</v>
      </c>
      <c r="O84" s="17" t="e">
        <f>'6A. Pagalbiniai skaičiavimai'!$X$235</f>
        <v>#VALUE!</v>
      </c>
      <c r="P84" s="17" t="e">
        <f>'6A. Pagalbiniai skaičiavimai'!$X$236</f>
        <v>#VALUE!</v>
      </c>
      <c r="Q84" s="17" t="e">
        <f>'6A. Pagalbiniai skaičiavimai'!$X$237</f>
        <v>#VALUE!</v>
      </c>
      <c r="R84" s="17" t="e">
        <f>'6A. Pagalbiniai skaičiavimai'!$X$238</f>
        <v>#VALUE!</v>
      </c>
      <c r="S84" s="17" t="e">
        <f>'6A. Pagalbiniai skaičiavimai'!$X$239</f>
        <v>#VALUE!</v>
      </c>
      <c r="T84" s="3"/>
    </row>
    <row r="85" spans="1:20">
      <c r="A85" s="2"/>
      <c r="B85" s="2"/>
      <c r="C85" s="2"/>
      <c r="D85" s="2"/>
      <c r="E85" s="2"/>
      <c r="F85" s="2"/>
      <c r="G85" s="2"/>
      <c r="H85" s="2"/>
      <c r="I85" s="2"/>
      <c r="J85" s="2"/>
      <c r="K85" s="2"/>
      <c r="L85" s="2"/>
      <c r="M85" s="2"/>
      <c r="N85" s="2"/>
      <c r="O85" s="2"/>
      <c r="P85" s="2"/>
      <c r="Q85" s="2"/>
      <c r="R85" s="2"/>
      <c r="S85" s="2"/>
      <c r="T85" s="2"/>
    </row>
    <row r="86" spans="1:20">
      <c r="A86" s="24" t="s">
        <v>52</v>
      </c>
      <c r="B86" s="23" t="str">
        <f>IF(E64="","",IF(E64="NEATITINKA","BAZĖ JAU NEATITINKA",IF(COUNTIF(E65:E84,"NEATITINKA")=0,"LŪŽIO NĖRA","LŪŽIS")))</f>
        <v/>
      </c>
      <c r="C86" s="23"/>
      <c r="D86" s="23"/>
      <c r="E86" s="23"/>
      <c r="F86" s="23"/>
      <c r="G86" s="23"/>
      <c r="H86" s="23"/>
      <c r="I86" s="2"/>
      <c r="J86" s="2"/>
      <c r="K86" s="2"/>
      <c r="L86" s="2"/>
      <c r="M86" s="2"/>
      <c r="N86" s="2"/>
      <c r="O86" s="2"/>
      <c r="P86" s="2"/>
      <c r="Q86" s="2"/>
      <c r="R86" s="2"/>
      <c r="S86" s="2"/>
      <c r="T86" s="2"/>
    </row>
    <row r="87" spans="1:20">
      <c r="A87" s="24" t="s">
        <v>44</v>
      </c>
      <c r="B87" s="23" t="str">
        <f>IF(B86="","",IF(B86="BAZĖ JAU NEATITINKA",F64,IF(B86="LŪŽIO NĖRA","–",INDEX(F65:F84,MATCH("NEATITINKA",E65:E84,0)))))</f>
        <v/>
      </c>
      <c r="C87" s="23"/>
      <c r="D87" s="23"/>
      <c r="E87" s="23"/>
      <c r="F87" s="23"/>
      <c r="G87" s="23"/>
      <c r="H87" s="23"/>
      <c r="I87" s="2"/>
      <c r="J87" s="2"/>
      <c r="K87" s="2"/>
      <c r="L87" s="2"/>
      <c r="M87" s="2"/>
      <c r="N87" s="2"/>
      <c r="O87" s="2"/>
      <c r="P87" s="2"/>
      <c r="Q87" s="2"/>
      <c r="R87" s="2"/>
      <c r="S87" s="2"/>
      <c r="T87" s="2"/>
    </row>
    <row r="88" spans="1:20">
      <c r="A88" s="24" t="s">
        <v>53</v>
      </c>
      <c r="B88" s="23" t="str">
        <f>IF(B86="","",IF(B86="BAZĖ JAU NEATITINKA","Bazė",IF(B86="LŪŽIO NĖRA","–",INDEX(B65:B84,MATCH("NEATITINKA",E65:E84,0)))))</f>
        <v/>
      </c>
      <c r="C88" s="23"/>
      <c r="D88" s="23"/>
      <c r="E88" s="23"/>
      <c r="F88" s="23"/>
      <c r="G88" s="23"/>
      <c r="H88" s="23"/>
      <c r="I88" s="2"/>
      <c r="J88" s="2"/>
      <c r="K88" s="2"/>
      <c r="L88" s="2"/>
      <c r="M88" s="2"/>
      <c r="N88" s="2"/>
      <c r="O88" s="2"/>
      <c r="P88" s="2"/>
      <c r="Q88" s="2"/>
      <c r="R88" s="2"/>
      <c r="S88" s="2"/>
      <c r="T88" s="2"/>
    </row>
    <row r="89" spans="1:20">
      <c r="A89" s="24" t="s">
        <v>171</v>
      </c>
      <c r="B89" s="23" t="str" cm="1">
        <f t="array" ref="B89">IF(E84="","",IF(AND(SUMPRODUCT(--(TRANSPOSE('6A. Pagalbiniai skaičiavimai'!$X$230:$X$239)=C29:L29))=10,SUMPRODUCT(--(ABS(TRANSPOSE('6A. Pagalbiniai skaičiavimai'!$T$230:$T$239)-C12:L12)&lt;0.01))=10,SUMPRODUCT(--(ABS(TRANSPOSE('6A. Pagalbiniai skaičiavimai'!$N$230:$N$239)-C18:L18)&lt;0.01))=10,SUMPRODUCT(--(ABS(TRANSPOSE('6A. Pagalbiniai skaičiavimai'!$R$230:$R$239)-C25:L25)&lt;0.01))=10,SUMPRODUCT(--(ABS(TRANSPOSE('6A. Pagalbiniai skaičiavimai'!$V$230:$V$239)-C27:L27)&lt;0.000001))=10,SUMPRODUCT(--(ABS(TRANSPOSE('6A. Pagalbiniai skaičiavimai'!$W$230:$W$239)-C28:L28)&lt;0.000001))=10),"OK","NEATITINKA"))</f>
        <v/>
      </c>
      <c r="C89" s="23"/>
      <c r="D89" s="23"/>
      <c r="E89" s="23"/>
      <c r="F89" s="23"/>
      <c r="G89" s="23"/>
      <c r="H89" s="23"/>
      <c r="I89" s="2"/>
      <c r="J89" s="2"/>
      <c r="K89" s="2"/>
      <c r="L89" s="2"/>
      <c r="M89" s="2"/>
      <c r="N89" s="2"/>
      <c r="O89" s="2"/>
      <c r="P89" s="2"/>
      <c r="Q89" s="2"/>
      <c r="R89" s="2"/>
      <c r="S89" s="2"/>
      <c r="T89" s="2"/>
    </row>
    <row r="90" spans="1:20">
      <c r="A90" s="2"/>
      <c r="B90" s="2"/>
      <c r="C90" s="2"/>
      <c r="D90" s="2"/>
      <c r="E90" s="2"/>
      <c r="F90" s="2"/>
      <c r="G90" s="2"/>
      <c r="H90" s="2"/>
      <c r="I90" s="2"/>
      <c r="J90" s="2"/>
      <c r="K90" s="2"/>
      <c r="L90" s="2"/>
      <c r="M90" s="2"/>
      <c r="N90" s="2"/>
      <c r="O90" s="2"/>
      <c r="P90" s="2"/>
      <c r="Q90" s="2"/>
      <c r="R90" s="2"/>
      <c r="S90" s="2"/>
      <c r="T90" s="2"/>
    </row>
    <row r="91" spans="1:20" ht="42" customHeight="1">
      <c r="A91" s="130" t="s">
        <v>172</v>
      </c>
      <c r="B91" s="130"/>
      <c r="C91" s="130"/>
      <c r="D91" s="130"/>
      <c r="E91" s="130"/>
      <c r="F91" s="130"/>
      <c r="G91" s="130"/>
      <c r="H91" s="130"/>
      <c r="I91" s="130"/>
      <c r="J91" s="130"/>
      <c r="K91" s="130"/>
      <c r="L91" s="130"/>
      <c r="M91" s="130"/>
      <c r="N91" s="130"/>
      <c r="O91" s="130"/>
      <c r="P91" s="130"/>
      <c r="Q91" s="130"/>
      <c r="R91" s="2"/>
      <c r="S91" s="2"/>
      <c r="T91" s="2"/>
    </row>
  </sheetData>
  <sheetProtection algorithmName="SHA-512" hashValue="h8fY39xQ8IU626V1wDLu76lZhVfBEpgi8TtUmwWEVSfnF3ErqbK1CDs8ISkvfThEpEwlQl8KMFxHsG+Mhvb0Tg==" saltValue="czlVHFnHO9cq3Bs9/USyVg==" spinCount="100000" sheet="1" objects="1" scenarios="1"/>
  <mergeCells count="4">
    <mergeCell ref="A91:Q91"/>
    <mergeCell ref="A38:G38"/>
    <mergeCell ref="A1:T1"/>
    <mergeCell ref="A2:T2"/>
  </mergeCells>
  <conditionalFormatting sqref="B89">
    <cfRule type="expression" dxfId="35" priority="3">
      <formula>B89="OK"</formula>
    </cfRule>
    <cfRule type="expression" dxfId="34" priority="4">
      <formula>B89="NEATITINKA"</formula>
    </cfRule>
  </conditionalFormatting>
  <conditionalFormatting sqref="C28:L29">
    <cfRule type="expression" dxfId="33" priority="7">
      <formula>C28="ATITINKA"</formula>
    </cfRule>
    <cfRule type="expression" dxfId="32" priority="8">
      <formula>C28="NEATITINKA"</formula>
    </cfRule>
  </conditionalFormatting>
  <conditionalFormatting sqref="E64:E84">
    <cfRule type="expression" dxfId="31" priority="33">
      <formula>E64="ATITINKA"</formula>
    </cfRule>
    <cfRule type="expression" dxfId="30" priority="34">
      <formula>E64="NEATITINKA"</formula>
    </cfRule>
  </conditionalFormatting>
  <conditionalFormatting sqref="F35">
    <cfRule type="expression" dxfId="29" priority="13">
      <formula>F35="ATITINKA"</formula>
    </cfRule>
    <cfRule type="expression" dxfId="28" priority="14">
      <formula>F35="NEATITINKA"</formula>
    </cfRule>
  </conditionalFormatting>
  <conditionalFormatting sqref="F36:F37">
    <cfRule type="expression" dxfId="27" priority="1">
      <formula>F36="OK"</formula>
    </cfRule>
    <cfRule type="expression" dxfId="26" priority="2">
      <formula>F36="NEATITINKA"</formula>
    </cfRule>
  </conditionalFormatting>
  <conditionalFormatting sqref="J64:S84">
    <cfRule type="expression" dxfId="25" priority="19">
      <formula>J64="ATITINKA"</formula>
    </cfRule>
    <cfRule type="expression" dxfId="24" priority="20">
      <formula>J64="NEATITINKA"</formula>
    </cfRule>
  </conditionalFormatting>
  <conditionalFormatting sqref="T64:T84">
    <cfRule type="expression" dxfId="23" priority="35">
      <formula>T64="OK"</formula>
    </cfRule>
    <cfRule type="expression" dxfId="22" priority="36">
      <formula>T64="NEATITINKA"</formula>
    </cfRule>
  </conditionalFormatting>
  <conditionalFormatting sqref="T84">
    <cfRule type="expression" dxfId="21" priority="21">
      <formula>T84="OK"</formula>
    </cfRule>
    <cfRule type="expression" dxfId="20" priority="22">
      <formula>T84="NEATITINKA"</formula>
    </cfRule>
  </conditionalFormatting>
  <dataValidations count="1">
    <dataValidation type="list" sqref="C4" xr:uid="{00000000-0002-0000-0500-000000000000}">
      <formula1>"1,2"</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22DA5-4F46-44EF-859E-F4BE493BCCD4}">
  <dimension ref="A1:AS239"/>
  <sheetViews>
    <sheetView workbookViewId="0">
      <pane xSplit="5" ySplit="4" topLeftCell="F219" activePane="bottomRight" state="frozen"/>
      <selection pane="topRight" activeCell="F1" sqref="F1"/>
      <selection pane="bottomLeft" activeCell="A5" sqref="A5"/>
      <selection pane="bottomRight" activeCell="A2" sqref="A2:XFD239"/>
    </sheetView>
  </sheetViews>
  <sheetFormatPr defaultRowHeight="14"/>
  <cols>
    <col min="1" max="1" width="8.6640625" customWidth="1"/>
    <col min="2" max="2" width="36.6640625" customWidth="1"/>
    <col min="3" max="5" width="14.6640625" customWidth="1"/>
    <col min="6" max="45" width="11.33203125" customWidth="1"/>
  </cols>
  <sheetData>
    <row r="1" spans="1:45" ht="19.5">
      <c r="A1" s="120" t="s">
        <v>167</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row>
    <row r="2" spans="1:45">
      <c r="A2" s="136" t="s">
        <v>168</v>
      </c>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c r="AL2" s="136"/>
      <c r="AM2" s="136"/>
      <c r="AN2" s="136"/>
      <c r="AO2" s="136"/>
      <c r="AP2" s="136"/>
      <c r="AQ2" s="136"/>
      <c r="AR2" s="136"/>
      <c r="AS2" s="136"/>
    </row>
    <row r="3" spans="1:45">
      <c r="A3" s="57"/>
      <c r="B3" s="57"/>
      <c r="C3" s="57"/>
      <c r="D3" s="57"/>
      <c r="E3" s="57"/>
      <c r="F3" s="137" t="s">
        <v>170</v>
      </c>
      <c r="G3" s="137"/>
      <c r="H3" s="137"/>
      <c r="I3" s="137"/>
      <c r="J3" s="137"/>
      <c r="K3" s="137"/>
      <c r="L3" s="137"/>
      <c r="M3" s="137"/>
      <c r="N3" s="137"/>
      <c r="O3" s="137"/>
      <c r="P3" s="137" t="s">
        <v>152</v>
      </c>
      <c r="Q3" s="137"/>
      <c r="R3" s="137"/>
      <c r="S3" s="137"/>
      <c r="T3" s="137"/>
      <c r="U3" s="137"/>
      <c r="V3" s="137"/>
      <c r="W3" s="137"/>
      <c r="X3" s="137"/>
      <c r="Y3" s="137"/>
      <c r="Z3" s="137" t="s">
        <v>153</v>
      </c>
      <c r="AA3" s="137"/>
      <c r="AB3" s="137"/>
      <c r="AC3" s="137"/>
      <c r="AD3" s="137"/>
      <c r="AE3" s="137"/>
      <c r="AF3" s="137"/>
      <c r="AG3" s="137"/>
      <c r="AH3" s="137"/>
      <c r="AI3" s="137"/>
      <c r="AJ3" s="137" t="s">
        <v>154</v>
      </c>
      <c r="AK3" s="137"/>
      <c r="AL3" s="137"/>
      <c r="AM3" s="137"/>
      <c r="AN3" s="137"/>
      <c r="AO3" s="137"/>
      <c r="AP3" s="137"/>
      <c r="AQ3" s="137"/>
      <c r="AR3" s="137"/>
      <c r="AS3" s="137"/>
    </row>
    <row r="4" spans="1:45">
      <c r="A4" s="65" t="s">
        <v>1</v>
      </c>
      <c r="B4" s="65" t="s">
        <v>32</v>
      </c>
      <c r="C4" s="65" t="s">
        <v>169</v>
      </c>
      <c r="D4" s="65" t="s">
        <v>149</v>
      </c>
      <c r="E4" s="65" t="s">
        <v>150</v>
      </c>
      <c r="F4" s="64">
        <v>2026</v>
      </c>
      <c r="G4" s="64">
        <v>2027</v>
      </c>
      <c r="H4" s="64">
        <v>2028</v>
      </c>
      <c r="I4" s="64">
        <v>2029</v>
      </c>
      <c r="J4" s="64">
        <v>2030</v>
      </c>
      <c r="K4" s="64">
        <v>2031</v>
      </c>
      <c r="L4" s="64">
        <v>2032</v>
      </c>
      <c r="M4" s="64">
        <v>2033</v>
      </c>
      <c r="N4" s="64">
        <v>2034</v>
      </c>
      <c r="O4" s="64">
        <v>2035</v>
      </c>
      <c r="P4" s="64">
        <v>2026</v>
      </c>
      <c r="Q4" s="64">
        <v>2027</v>
      </c>
      <c r="R4" s="64">
        <v>2028</v>
      </c>
      <c r="S4" s="64">
        <v>2029</v>
      </c>
      <c r="T4" s="64">
        <v>2030</v>
      </c>
      <c r="U4" s="64">
        <v>2031</v>
      </c>
      <c r="V4" s="64">
        <v>2032</v>
      </c>
      <c r="W4" s="64">
        <v>2033</v>
      </c>
      <c r="X4" s="64">
        <v>2034</v>
      </c>
      <c r="Y4" s="64">
        <v>2035</v>
      </c>
      <c r="Z4" s="64">
        <v>2026</v>
      </c>
      <c r="AA4" s="64">
        <v>2027</v>
      </c>
      <c r="AB4" s="64">
        <v>2028</v>
      </c>
      <c r="AC4" s="64">
        <v>2029</v>
      </c>
      <c r="AD4" s="64">
        <v>2030</v>
      </c>
      <c r="AE4" s="64">
        <v>2031</v>
      </c>
      <c r="AF4" s="64">
        <v>2032</v>
      </c>
      <c r="AG4" s="64">
        <v>2033</v>
      </c>
      <c r="AH4" s="64">
        <v>2034</v>
      </c>
      <c r="AI4" s="64">
        <v>2035</v>
      </c>
      <c r="AJ4" s="64">
        <v>2026</v>
      </c>
      <c r="AK4" s="64">
        <v>2027</v>
      </c>
      <c r="AL4" s="64">
        <v>2028</v>
      </c>
      <c r="AM4" s="64">
        <v>2029</v>
      </c>
      <c r="AN4" s="64">
        <v>2030</v>
      </c>
      <c r="AO4" s="64">
        <v>2031</v>
      </c>
      <c r="AP4" s="64">
        <v>2032</v>
      </c>
      <c r="AQ4" s="64">
        <v>2033</v>
      </c>
      <c r="AR4" s="64">
        <v>2034</v>
      </c>
      <c r="AS4" s="64">
        <v>2035</v>
      </c>
    </row>
    <row r="5" spans="1:45">
      <c r="A5" s="57" t="str">
        <f>'2. Investicijos'!A5</f>
        <v>1.</v>
      </c>
      <c r="B5" s="57">
        <f>'2. Investicijos'!B5</f>
        <v>0</v>
      </c>
      <c r="C5" s="69">
        <f>MAX(0,'2. Investicijos'!N5-'2. Investicijos'!H5*IF('2. Investicijos'!G5&lt;=35,30%,40%))</f>
        <v>0</v>
      </c>
      <c r="D5" s="70">
        <f>IF('2. Investicijos'!O5="",0,'2. Investicijos'!O5/100)</f>
        <v>0</v>
      </c>
      <c r="E5" s="71">
        <f>IF('2. Investicijos'!P5="",0,'2. Investicijos'!P5)</f>
        <v>0</v>
      </c>
      <c r="F5" s="69">
        <f>IFERROR('4. Metinis CAPEX'!F9/'2. Investicijos'!H5*$C5,0)</f>
        <v>0</v>
      </c>
      <c r="G5" s="69">
        <f>IFERROR('4. Metinis CAPEX'!G9/'2. Investicijos'!H5*$C5,0)</f>
        <v>0</v>
      </c>
      <c r="H5" s="69">
        <f>IFERROR('4. Metinis CAPEX'!H9/'2. Investicijos'!H5*$C5,0)</f>
        <v>0</v>
      </c>
      <c r="I5" s="69">
        <f>IFERROR('4. Metinis CAPEX'!I9/'2. Investicijos'!H5*$C5,0)</f>
        <v>0</v>
      </c>
      <c r="J5" s="69">
        <f>IFERROR('4. Metinis CAPEX'!J9/'2. Investicijos'!H5*$C5,0)</f>
        <v>0</v>
      </c>
      <c r="K5" s="69">
        <f>IFERROR('4. Metinis CAPEX'!K9/'2. Investicijos'!H5*$C5,0)</f>
        <v>0</v>
      </c>
      <c r="L5" s="69">
        <f>IFERROR('4. Metinis CAPEX'!L9/'2. Investicijos'!H5*$C5,0)</f>
        <v>0</v>
      </c>
      <c r="M5" s="69">
        <f>IFERROR('4. Metinis CAPEX'!M9/'2. Investicijos'!H5*$C5,0)</f>
        <v>0</v>
      </c>
      <c r="N5" s="69">
        <f>IFERROR('4. Metinis CAPEX'!N9/'2. Investicijos'!H5*$C5,0)</f>
        <v>0</v>
      </c>
      <c r="O5" s="69">
        <f>IFERROR('4. Metinis CAPEX'!O9/'2. Investicijos'!H5*$C5,0)</f>
        <v>0</v>
      </c>
      <c r="P5" s="69" cm="1">
        <f t="array" ref="P5">IF($E5=0,0,SUMPRODUCT(($F$4:$O$4&lt;F$4)*($F$4:$O$4&gt;=F$4-$E5)*($F5:$O5/$E5)))</f>
        <v>0</v>
      </c>
      <c r="Q5" s="69" cm="1">
        <f t="array" ref="Q5">IF($E5=0,0,SUMPRODUCT(($F$4:$O$4&lt;G$4)*($F$4:$O$4&gt;=G$4-$E5)*($F5:$O5/$E5)))</f>
        <v>0</v>
      </c>
      <c r="R5" s="69" cm="1">
        <f t="array" ref="R5">IF($E5=0,0,SUMPRODUCT(($F$4:$O$4&lt;H$4)*($F$4:$O$4&gt;=H$4-$E5)*($F5:$O5/$E5)))</f>
        <v>0</v>
      </c>
      <c r="S5" s="69" cm="1">
        <f t="array" ref="S5">IF($E5=0,0,SUMPRODUCT(($F$4:$O$4&lt;I$4)*($F$4:$O$4&gt;=I$4-$E5)*($F5:$O5/$E5)))</f>
        <v>0</v>
      </c>
      <c r="T5" s="69" cm="1">
        <f t="array" ref="T5">IF($E5=0,0,SUMPRODUCT(($F$4:$O$4&lt;J$4)*($F$4:$O$4&gt;=J$4-$E5)*($F5:$O5/$E5)))</f>
        <v>0</v>
      </c>
      <c r="U5" s="69" cm="1">
        <f t="array" ref="U5">IF($E5=0,0,SUMPRODUCT(($F$4:$O$4&lt;K$4)*($F$4:$O$4&gt;=K$4-$E5)*($F5:$O5/$E5)))</f>
        <v>0</v>
      </c>
      <c r="V5" s="69" cm="1">
        <f t="array" ref="V5">IF($E5=0,0,SUMPRODUCT(($F$4:$O$4&lt;L$4)*($F$4:$O$4&gt;=L$4-$E5)*($F5:$O5/$E5)))</f>
        <v>0</v>
      </c>
      <c r="W5" s="69" cm="1">
        <f t="array" ref="W5">IF($E5=0,0,SUMPRODUCT(($F$4:$O$4&lt;M$4)*($F$4:$O$4&gt;=M$4-$E5)*($F5:$O5/$E5)))</f>
        <v>0</v>
      </c>
      <c r="X5" s="69" cm="1">
        <f t="array" ref="X5">IF($E5=0,0,SUMPRODUCT(($F$4:$O$4&lt;N$4)*($F$4:$O$4&gt;=N$4-$E5)*($F5:$O5/$E5)))</f>
        <v>0</v>
      </c>
      <c r="Y5" s="69" cm="1">
        <f t="array" ref="Y5">IF($E5=0,0,SUMPRODUCT(($F$4:$O$4&lt;O$4)*($F$4:$O$4&gt;=O$4-$E5)*($F5:$O5/$E5)))</f>
        <v>0</v>
      </c>
      <c r="Z5" s="69">
        <f>0</f>
        <v>0</v>
      </c>
      <c r="AA5" s="69">
        <f t="shared" ref="AA5:AI5" si="0">AJ5*$D5</f>
        <v>0</v>
      </c>
      <c r="AB5" s="69">
        <f t="shared" si="0"/>
        <v>0</v>
      </c>
      <c r="AC5" s="69">
        <f t="shared" si="0"/>
        <v>0</v>
      </c>
      <c r="AD5" s="69">
        <f t="shared" si="0"/>
        <v>0</v>
      </c>
      <c r="AE5" s="69">
        <f t="shared" si="0"/>
        <v>0</v>
      </c>
      <c r="AF5" s="69">
        <f t="shared" si="0"/>
        <v>0</v>
      </c>
      <c r="AG5" s="69">
        <f t="shared" si="0"/>
        <v>0</v>
      </c>
      <c r="AH5" s="69">
        <f t="shared" si="0"/>
        <v>0</v>
      </c>
      <c r="AI5" s="69">
        <f t="shared" si="0"/>
        <v>0</v>
      </c>
      <c r="AJ5" s="69">
        <f>F5-P5</f>
        <v>0</v>
      </c>
      <c r="AK5" s="69">
        <f t="shared" ref="AK5:AS5" si="1">AJ5+G5-Q5</f>
        <v>0</v>
      </c>
      <c r="AL5" s="69">
        <f t="shared" si="1"/>
        <v>0</v>
      </c>
      <c r="AM5" s="69">
        <f t="shared" si="1"/>
        <v>0</v>
      </c>
      <c r="AN5" s="69">
        <f t="shared" si="1"/>
        <v>0</v>
      </c>
      <c r="AO5" s="69">
        <f t="shared" si="1"/>
        <v>0</v>
      </c>
      <c r="AP5" s="69">
        <f t="shared" si="1"/>
        <v>0</v>
      </c>
      <c r="AQ5" s="69">
        <f t="shared" si="1"/>
        <v>0</v>
      </c>
      <c r="AR5" s="69">
        <f t="shared" si="1"/>
        <v>0</v>
      </c>
      <c r="AS5" s="69">
        <f t="shared" si="1"/>
        <v>0</v>
      </c>
    </row>
    <row r="6" spans="1:45">
      <c r="A6" s="57" t="str">
        <f>'2. Investicijos'!A6</f>
        <v>2.</v>
      </c>
      <c r="B6" s="57">
        <f>'2. Investicijos'!B6</f>
        <v>0</v>
      </c>
      <c r="C6" s="69">
        <f>MAX(0,'2. Investicijos'!N6-'2. Investicijos'!H6*IF('2. Investicijos'!G6&lt;=35,30%,40%))</f>
        <v>0</v>
      </c>
      <c r="D6" s="70">
        <f>IF('2. Investicijos'!O6="",0,'2. Investicijos'!O6/100)</f>
        <v>0</v>
      </c>
      <c r="E6" s="71">
        <f>IF('2. Investicijos'!P6="",0,'2. Investicijos'!P6)</f>
        <v>0</v>
      </c>
      <c r="F6" s="69">
        <f>IFERROR('4. Metinis CAPEX'!F10/'2. Investicijos'!H6*$C6,0)</f>
        <v>0</v>
      </c>
      <c r="G6" s="69">
        <f>IFERROR('4. Metinis CAPEX'!G10/'2. Investicijos'!H6*$C6,0)</f>
        <v>0</v>
      </c>
      <c r="H6" s="69">
        <f>IFERROR('4. Metinis CAPEX'!H10/'2. Investicijos'!H6*$C6,0)</f>
        <v>0</v>
      </c>
      <c r="I6" s="69">
        <f>IFERROR('4. Metinis CAPEX'!I10/'2. Investicijos'!H6*$C6,0)</f>
        <v>0</v>
      </c>
      <c r="J6" s="69">
        <f>IFERROR('4. Metinis CAPEX'!J10/'2. Investicijos'!H6*$C6,0)</f>
        <v>0</v>
      </c>
      <c r="K6" s="69">
        <f>IFERROR('4. Metinis CAPEX'!K10/'2. Investicijos'!H6*$C6,0)</f>
        <v>0</v>
      </c>
      <c r="L6" s="69">
        <f>IFERROR('4. Metinis CAPEX'!L10/'2. Investicijos'!H6*$C6,0)</f>
        <v>0</v>
      </c>
      <c r="M6" s="69">
        <f>IFERROR('4. Metinis CAPEX'!M10/'2. Investicijos'!H6*$C6,0)</f>
        <v>0</v>
      </c>
      <c r="N6" s="69">
        <f>IFERROR('4. Metinis CAPEX'!N10/'2. Investicijos'!H6*$C6,0)</f>
        <v>0</v>
      </c>
      <c r="O6" s="69">
        <f>IFERROR('4. Metinis CAPEX'!O10/'2. Investicijos'!H6*$C6,0)</f>
        <v>0</v>
      </c>
      <c r="P6" s="69" cm="1">
        <f t="array" ref="P6">IF($E6=0,0,SUMPRODUCT(($F$4:$O$4&lt;F$4)*($F$4:$O$4&gt;=F$4-$E6)*($F6:$O6/$E6)))</f>
        <v>0</v>
      </c>
      <c r="Q6" s="69" cm="1">
        <f t="array" ref="Q6">IF($E6=0,0,SUMPRODUCT(($F$4:$O$4&lt;G$4)*($F$4:$O$4&gt;=G$4-$E6)*($F6:$O6/$E6)))</f>
        <v>0</v>
      </c>
      <c r="R6" s="69" cm="1">
        <f t="array" ref="R6">IF($E6=0,0,SUMPRODUCT(($F$4:$O$4&lt;H$4)*($F$4:$O$4&gt;=H$4-$E6)*($F6:$O6/$E6)))</f>
        <v>0</v>
      </c>
      <c r="S6" s="69" cm="1">
        <f t="array" ref="S6">IF($E6=0,0,SUMPRODUCT(($F$4:$O$4&lt;I$4)*($F$4:$O$4&gt;=I$4-$E6)*($F6:$O6/$E6)))</f>
        <v>0</v>
      </c>
      <c r="T6" s="69" cm="1">
        <f t="array" ref="T6">IF($E6=0,0,SUMPRODUCT(($F$4:$O$4&lt;J$4)*($F$4:$O$4&gt;=J$4-$E6)*($F6:$O6/$E6)))</f>
        <v>0</v>
      </c>
      <c r="U6" s="69" cm="1">
        <f t="array" ref="U6">IF($E6=0,0,SUMPRODUCT(($F$4:$O$4&lt;K$4)*($F$4:$O$4&gt;=K$4-$E6)*($F6:$O6/$E6)))</f>
        <v>0</v>
      </c>
      <c r="V6" s="69" cm="1">
        <f t="array" ref="V6">IF($E6=0,0,SUMPRODUCT(($F$4:$O$4&lt;L$4)*($F$4:$O$4&gt;=L$4-$E6)*($F6:$O6/$E6)))</f>
        <v>0</v>
      </c>
      <c r="W6" s="69" cm="1">
        <f t="array" ref="W6">IF($E6=0,0,SUMPRODUCT(($F$4:$O$4&lt;M$4)*($F$4:$O$4&gt;=M$4-$E6)*($F6:$O6/$E6)))</f>
        <v>0</v>
      </c>
      <c r="X6" s="69" cm="1">
        <f t="array" ref="X6">IF($E6=0,0,SUMPRODUCT(($F$4:$O$4&lt;N$4)*($F$4:$O$4&gt;=N$4-$E6)*($F6:$O6/$E6)))</f>
        <v>0</v>
      </c>
      <c r="Y6" s="69" cm="1">
        <f t="array" ref="Y6">IF($E6=0,0,SUMPRODUCT(($F$4:$O$4&lt;O$4)*($F$4:$O$4&gt;=O$4-$E6)*($F6:$O6/$E6)))</f>
        <v>0</v>
      </c>
      <c r="Z6" s="69">
        <f>0</f>
        <v>0</v>
      </c>
      <c r="AA6" s="69">
        <f t="shared" ref="AA6:AA24" si="2">AJ6*$D6</f>
        <v>0</v>
      </c>
      <c r="AB6" s="69">
        <f t="shared" ref="AB6:AB24" si="3">AK6*$D6</f>
        <v>0</v>
      </c>
      <c r="AC6" s="69">
        <f t="shared" ref="AC6:AC24" si="4">AL6*$D6</f>
        <v>0</v>
      </c>
      <c r="AD6" s="69">
        <f t="shared" ref="AD6:AD24" si="5">AM6*$D6</f>
        <v>0</v>
      </c>
      <c r="AE6" s="69">
        <f t="shared" ref="AE6:AE24" si="6">AN6*$D6</f>
        <v>0</v>
      </c>
      <c r="AF6" s="69">
        <f t="shared" ref="AF6:AF24" si="7">AO6*$D6</f>
        <v>0</v>
      </c>
      <c r="AG6" s="69">
        <f t="shared" ref="AG6:AG24" si="8">AP6*$D6</f>
        <v>0</v>
      </c>
      <c r="AH6" s="69">
        <f t="shared" ref="AH6:AH24" si="9">AQ6*$D6</f>
        <v>0</v>
      </c>
      <c r="AI6" s="69">
        <f t="shared" ref="AI6:AI24" si="10">AR6*$D6</f>
        <v>0</v>
      </c>
      <c r="AJ6" s="69">
        <f t="shared" ref="AJ6:AJ24" si="11">F6-P6</f>
        <v>0</v>
      </c>
      <c r="AK6" s="69">
        <f t="shared" ref="AK6:AS6" si="12">AJ6+G6-Q6</f>
        <v>0</v>
      </c>
      <c r="AL6" s="69">
        <f t="shared" si="12"/>
        <v>0</v>
      </c>
      <c r="AM6" s="69">
        <f t="shared" si="12"/>
        <v>0</v>
      </c>
      <c r="AN6" s="69">
        <f t="shared" si="12"/>
        <v>0</v>
      </c>
      <c r="AO6" s="69">
        <f t="shared" si="12"/>
        <v>0</v>
      </c>
      <c r="AP6" s="69">
        <f t="shared" si="12"/>
        <v>0</v>
      </c>
      <c r="AQ6" s="69">
        <f t="shared" si="12"/>
        <v>0</v>
      </c>
      <c r="AR6" s="69">
        <f t="shared" si="12"/>
        <v>0</v>
      </c>
      <c r="AS6" s="69">
        <f t="shared" si="12"/>
        <v>0</v>
      </c>
    </row>
    <row r="7" spans="1:45">
      <c r="A7" s="57" t="str">
        <f>'2. Investicijos'!A7</f>
        <v>3.</v>
      </c>
      <c r="B7" s="57">
        <f>'2. Investicijos'!B7</f>
        <v>0</v>
      </c>
      <c r="C7" s="69">
        <f>MAX(0,'2. Investicijos'!N7-'2. Investicijos'!H7*IF('2. Investicijos'!G7&lt;=35,30%,40%))</f>
        <v>0</v>
      </c>
      <c r="D7" s="70">
        <f>IF('2. Investicijos'!O7="",0,'2. Investicijos'!O7/100)</f>
        <v>0</v>
      </c>
      <c r="E7" s="71">
        <f>IF('2. Investicijos'!P7="",0,'2. Investicijos'!P7)</f>
        <v>0</v>
      </c>
      <c r="F7" s="69">
        <f>IFERROR('4. Metinis CAPEX'!F11/'2. Investicijos'!H7*$C7,0)</f>
        <v>0</v>
      </c>
      <c r="G7" s="69">
        <f>IFERROR('4. Metinis CAPEX'!G11/'2. Investicijos'!H7*$C7,0)</f>
        <v>0</v>
      </c>
      <c r="H7" s="69">
        <f>IFERROR('4. Metinis CAPEX'!H11/'2. Investicijos'!H7*$C7,0)</f>
        <v>0</v>
      </c>
      <c r="I7" s="69">
        <f>IFERROR('4. Metinis CAPEX'!I11/'2. Investicijos'!H7*$C7,0)</f>
        <v>0</v>
      </c>
      <c r="J7" s="69">
        <f>IFERROR('4. Metinis CAPEX'!J11/'2. Investicijos'!H7*$C7,0)</f>
        <v>0</v>
      </c>
      <c r="K7" s="69">
        <f>IFERROR('4. Metinis CAPEX'!K11/'2. Investicijos'!H7*$C7,0)</f>
        <v>0</v>
      </c>
      <c r="L7" s="69">
        <f>IFERROR('4. Metinis CAPEX'!L11/'2. Investicijos'!H7*$C7,0)</f>
        <v>0</v>
      </c>
      <c r="M7" s="69">
        <f>IFERROR('4. Metinis CAPEX'!M11/'2. Investicijos'!H7*$C7,0)</f>
        <v>0</v>
      </c>
      <c r="N7" s="69">
        <f>IFERROR('4. Metinis CAPEX'!N11/'2. Investicijos'!H7*$C7,0)</f>
        <v>0</v>
      </c>
      <c r="O7" s="69">
        <f>IFERROR('4. Metinis CAPEX'!O11/'2. Investicijos'!H7*$C7,0)</f>
        <v>0</v>
      </c>
      <c r="P7" s="69" cm="1">
        <f t="array" ref="P7">IF($E7=0,0,SUMPRODUCT(($F$4:$O$4&lt;F$4)*($F$4:$O$4&gt;=F$4-$E7)*($F7:$O7/$E7)))</f>
        <v>0</v>
      </c>
      <c r="Q7" s="69" cm="1">
        <f t="array" ref="Q7">IF($E7=0,0,SUMPRODUCT(($F$4:$O$4&lt;G$4)*($F$4:$O$4&gt;=G$4-$E7)*($F7:$O7/$E7)))</f>
        <v>0</v>
      </c>
      <c r="R7" s="69" cm="1">
        <f t="array" ref="R7">IF($E7=0,0,SUMPRODUCT(($F$4:$O$4&lt;H$4)*($F$4:$O$4&gt;=H$4-$E7)*($F7:$O7/$E7)))</f>
        <v>0</v>
      </c>
      <c r="S7" s="69" cm="1">
        <f t="array" ref="S7">IF($E7=0,0,SUMPRODUCT(($F$4:$O$4&lt;I$4)*($F$4:$O$4&gt;=I$4-$E7)*($F7:$O7/$E7)))</f>
        <v>0</v>
      </c>
      <c r="T7" s="69" cm="1">
        <f t="array" ref="T7">IF($E7=0,0,SUMPRODUCT(($F$4:$O$4&lt;J$4)*($F$4:$O$4&gt;=J$4-$E7)*($F7:$O7/$E7)))</f>
        <v>0</v>
      </c>
      <c r="U7" s="69" cm="1">
        <f t="array" ref="U7">IF($E7=0,0,SUMPRODUCT(($F$4:$O$4&lt;K$4)*($F$4:$O$4&gt;=K$4-$E7)*($F7:$O7/$E7)))</f>
        <v>0</v>
      </c>
      <c r="V7" s="69" cm="1">
        <f t="array" ref="V7">IF($E7=0,0,SUMPRODUCT(($F$4:$O$4&lt;L$4)*($F$4:$O$4&gt;=L$4-$E7)*($F7:$O7/$E7)))</f>
        <v>0</v>
      </c>
      <c r="W7" s="69" cm="1">
        <f t="array" ref="W7">IF($E7=0,0,SUMPRODUCT(($F$4:$O$4&lt;M$4)*($F$4:$O$4&gt;=M$4-$E7)*($F7:$O7/$E7)))</f>
        <v>0</v>
      </c>
      <c r="X7" s="69" cm="1">
        <f t="array" ref="X7">IF($E7=0,0,SUMPRODUCT(($F$4:$O$4&lt;N$4)*($F$4:$O$4&gt;=N$4-$E7)*($F7:$O7/$E7)))</f>
        <v>0</v>
      </c>
      <c r="Y7" s="69" cm="1">
        <f t="array" ref="Y7">IF($E7=0,0,SUMPRODUCT(($F$4:$O$4&lt;O$4)*($F$4:$O$4&gt;=O$4-$E7)*($F7:$O7/$E7)))</f>
        <v>0</v>
      </c>
      <c r="Z7" s="69">
        <f>0</f>
        <v>0</v>
      </c>
      <c r="AA7" s="69">
        <f t="shared" si="2"/>
        <v>0</v>
      </c>
      <c r="AB7" s="69">
        <f t="shared" si="3"/>
        <v>0</v>
      </c>
      <c r="AC7" s="69">
        <f t="shared" si="4"/>
        <v>0</v>
      </c>
      <c r="AD7" s="69">
        <f t="shared" si="5"/>
        <v>0</v>
      </c>
      <c r="AE7" s="69">
        <f t="shared" si="6"/>
        <v>0</v>
      </c>
      <c r="AF7" s="69">
        <f t="shared" si="7"/>
        <v>0</v>
      </c>
      <c r="AG7" s="69">
        <f t="shared" si="8"/>
        <v>0</v>
      </c>
      <c r="AH7" s="69">
        <f t="shared" si="9"/>
        <v>0</v>
      </c>
      <c r="AI7" s="69">
        <f t="shared" si="10"/>
        <v>0</v>
      </c>
      <c r="AJ7" s="69">
        <f t="shared" si="11"/>
        <v>0</v>
      </c>
      <c r="AK7" s="69">
        <f t="shared" ref="AK7:AS7" si="13">AJ7+G7-Q7</f>
        <v>0</v>
      </c>
      <c r="AL7" s="69">
        <f t="shared" si="13"/>
        <v>0</v>
      </c>
      <c r="AM7" s="69">
        <f t="shared" si="13"/>
        <v>0</v>
      </c>
      <c r="AN7" s="69">
        <f t="shared" si="13"/>
        <v>0</v>
      </c>
      <c r="AO7" s="69">
        <f t="shared" si="13"/>
        <v>0</v>
      </c>
      <c r="AP7" s="69">
        <f t="shared" si="13"/>
        <v>0</v>
      </c>
      <c r="AQ7" s="69">
        <f t="shared" si="13"/>
        <v>0</v>
      </c>
      <c r="AR7" s="69">
        <f t="shared" si="13"/>
        <v>0</v>
      </c>
      <c r="AS7" s="69">
        <f t="shared" si="13"/>
        <v>0</v>
      </c>
    </row>
    <row r="8" spans="1:45">
      <c r="A8" s="57" t="str">
        <f>'2. Investicijos'!A8</f>
        <v>4.</v>
      </c>
      <c r="B8" s="57">
        <f>'2. Investicijos'!B8</f>
        <v>0</v>
      </c>
      <c r="C8" s="69">
        <f>MAX(0,'2. Investicijos'!N8-'2. Investicijos'!H8*IF('2. Investicijos'!G8&lt;=35,30%,40%))</f>
        <v>0</v>
      </c>
      <c r="D8" s="70">
        <f>IF('2. Investicijos'!O8="",0,'2. Investicijos'!O8/100)</f>
        <v>0</v>
      </c>
      <c r="E8" s="71">
        <f>IF('2. Investicijos'!P8="",0,'2. Investicijos'!P8)</f>
        <v>0</v>
      </c>
      <c r="F8" s="69">
        <f>IFERROR('4. Metinis CAPEX'!F12/'2. Investicijos'!H8*$C8,0)</f>
        <v>0</v>
      </c>
      <c r="G8" s="69">
        <f>IFERROR('4. Metinis CAPEX'!G12/'2. Investicijos'!H8*$C8,0)</f>
        <v>0</v>
      </c>
      <c r="H8" s="69">
        <f>IFERROR('4. Metinis CAPEX'!H12/'2. Investicijos'!H8*$C8,0)</f>
        <v>0</v>
      </c>
      <c r="I8" s="69">
        <f>IFERROR('4. Metinis CAPEX'!I12/'2. Investicijos'!H8*$C8,0)</f>
        <v>0</v>
      </c>
      <c r="J8" s="69">
        <f>IFERROR('4. Metinis CAPEX'!J12/'2. Investicijos'!H8*$C8,0)</f>
        <v>0</v>
      </c>
      <c r="K8" s="69">
        <f>IFERROR('4. Metinis CAPEX'!K12/'2. Investicijos'!H8*$C8,0)</f>
        <v>0</v>
      </c>
      <c r="L8" s="69">
        <f>IFERROR('4. Metinis CAPEX'!L12/'2. Investicijos'!H8*$C8,0)</f>
        <v>0</v>
      </c>
      <c r="M8" s="69">
        <f>IFERROR('4. Metinis CAPEX'!M12/'2. Investicijos'!H8*$C8,0)</f>
        <v>0</v>
      </c>
      <c r="N8" s="69">
        <f>IFERROR('4. Metinis CAPEX'!N12/'2. Investicijos'!H8*$C8,0)</f>
        <v>0</v>
      </c>
      <c r="O8" s="69">
        <f>IFERROR('4. Metinis CAPEX'!O12/'2. Investicijos'!H8*$C8,0)</f>
        <v>0</v>
      </c>
      <c r="P8" s="69" cm="1">
        <f t="array" ref="P8">IF($E8=0,0,SUMPRODUCT(($F$4:$O$4&lt;F$4)*($F$4:$O$4&gt;=F$4-$E8)*($F8:$O8/$E8)))</f>
        <v>0</v>
      </c>
      <c r="Q8" s="69" cm="1">
        <f t="array" ref="Q8">IF($E8=0,0,SUMPRODUCT(($F$4:$O$4&lt;G$4)*($F$4:$O$4&gt;=G$4-$E8)*($F8:$O8/$E8)))</f>
        <v>0</v>
      </c>
      <c r="R8" s="69" cm="1">
        <f t="array" ref="R8">IF($E8=0,0,SUMPRODUCT(($F$4:$O$4&lt;H$4)*($F$4:$O$4&gt;=H$4-$E8)*($F8:$O8/$E8)))</f>
        <v>0</v>
      </c>
      <c r="S8" s="69" cm="1">
        <f t="array" ref="S8">IF($E8=0,0,SUMPRODUCT(($F$4:$O$4&lt;I$4)*($F$4:$O$4&gt;=I$4-$E8)*($F8:$O8/$E8)))</f>
        <v>0</v>
      </c>
      <c r="T8" s="69" cm="1">
        <f t="array" ref="T8">IF($E8=0,0,SUMPRODUCT(($F$4:$O$4&lt;J$4)*($F$4:$O$4&gt;=J$4-$E8)*($F8:$O8/$E8)))</f>
        <v>0</v>
      </c>
      <c r="U8" s="69" cm="1">
        <f t="array" ref="U8">IF($E8=0,0,SUMPRODUCT(($F$4:$O$4&lt;K$4)*($F$4:$O$4&gt;=K$4-$E8)*($F8:$O8/$E8)))</f>
        <v>0</v>
      </c>
      <c r="V8" s="69" cm="1">
        <f t="array" ref="V8">IF($E8=0,0,SUMPRODUCT(($F$4:$O$4&lt;L$4)*($F$4:$O$4&gt;=L$4-$E8)*($F8:$O8/$E8)))</f>
        <v>0</v>
      </c>
      <c r="W8" s="69" cm="1">
        <f t="array" ref="W8">IF($E8=0,0,SUMPRODUCT(($F$4:$O$4&lt;M$4)*($F$4:$O$4&gt;=M$4-$E8)*($F8:$O8/$E8)))</f>
        <v>0</v>
      </c>
      <c r="X8" s="69" cm="1">
        <f t="array" ref="X8">IF($E8=0,0,SUMPRODUCT(($F$4:$O$4&lt;N$4)*($F$4:$O$4&gt;=N$4-$E8)*($F8:$O8/$E8)))</f>
        <v>0</v>
      </c>
      <c r="Y8" s="69" cm="1">
        <f t="array" ref="Y8">IF($E8=0,0,SUMPRODUCT(($F$4:$O$4&lt;O$4)*($F$4:$O$4&gt;=O$4-$E8)*($F8:$O8/$E8)))</f>
        <v>0</v>
      </c>
      <c r="Z8" s="69">
        <f>0</f>
        <v>0</v>
      </c>
      <c r="AA8" s="69">
        <f t="shared" si="2"/>
        <v>0</v>
      </c>
      <c r="AB8" s="69">
        <f t="shared" si="3"/>
        <v>0</v>
      </c>
      <c r="AC8" s="69">
        <f t="shared" si="4"/>
        <v>0</v>
      </c>
      <c r="AD8" s="69">
        <f t="shared" si="5"/>
        <v>0</v>
      </c>
      <c r="AE8" s="69">
        <f t="shared" si="6"/>
        <v>0</v>
      </c>
      <c r="AF8" s="69">
        <f t="shared" si="7"/>
        <v>0</v>
      </c>
      <c r="AG8" s="69">
        <f t="shared" si="8"/>
        <v>0</v>
      </c>
      <c r="AH8" s="69">
        <f t="shared" si="9"/>
        <v>0</v>
      </c>
      <c r="AI8" s="69">
        <f t="shared" si="10"/>
        <v>0</v>
      </c>
      <c r="AJ8" s="69">
        <f t="shared" si="11"/>
        <v>0</v>
      </c>
      <c r="AK8" s="69">
        <f t="shared" ref="AK8:AS8" si="14">AJ8+G8-Q8</f>
        <v>0</v>
      </c>
      <c r="AL8" s="69">
        <f t="shared" si="14"/>
        <v>0</v>
      </c>
      <c r="AM8" s="69">
        <f t="shared" si="14"/>
        <v>0</v>
      </c>
      <c r="AN8" s="69">
        <f t="shared" si="14"/>
        <v>0</v>
      </c>
      <c r="AO8" s="69">
        <f t="shared" si="14"/>
        <v>0</v>
      </c>
      <c r="AP8" s="69">
        <f t="shared" si="14"/>
        <v>0</v>
      </c>
      <c r="AQ8" s="69">
        <f t="shared" si="14"/>
        <v>0</v>
      </c>
      <c r="AR8" s="69">
        <f t="shared" si="14"/>
        <v>0</v>
      </c>
      <c r="AS8" s="69">
        <f t="shared" si="14"/>
        <v>0</v>
      </c>
    </row>
    <row r="9" spans="1:45">
      <c r="A9" s="57" t="str">
        <f>'2. Investicijos'!A9</f>
        <v>5.</v>
      </c>
      <c r="B9" s="57">
        <f>'2. Investicijos'!B9</f>
        <v>0</v>
      </c>
      <c r="C9" s="69">
        <f>MAX(0,'2. Investicijos'!N9-'2. Investicijos'!H9*IF('2. Investicijos'!G9&lt;=35,30%,40%))</f>
        <v>0</v>
      </c>
      <c r="D9" s="70">
        <f>IF('2. Investicijos'!O9="",0,'2. Investicijos'!O9/100)</f>
        <v>0</v>
      </c>
      <c r="E9" s="71">
        <f>IF('2. Investicijos'!P9="",0,'2. Investicijos'!P9)</f>
        <v>0</v>
      </c>
      <c r="F9" s="69">
        <f>IFERROR('4. Metinis CAPEX'!F13/'2. Investicijos'!H9*$C9,0)</f>
        <v>0</v>
      </c>
      <c r="G9" s="69">
        <f>IFERROR('4. Metinis CAPEX'!G13/'2. Investicijos'!H9*$C9,0)</f>
        <v>0</v>
      </c>
      <c r="H9" s="69">
        <f>IFERROR('4. Metinis CAPEX'!H13/'2. Investicijos'!H9*$C9,0)</f>
        <v>0</v>
      </c>
      <c r="I9" s="69">
        <f>IFERROR('4. Metinis CAPEX'!I13/'2. Investicijos'!H9*$C9,0)</f>
        <v>0</v>
      </c>
      <c r="J9" s="69">
        <f>IFERROR('4. Metinis CAPEX'!J13/'2. Investicijos'!H9*$C9,0)</f>
        <v>0</v>
      </c>
      <c r="K9" s="69">
        <f>IFERROR('4. Metinis CAPEX'!K13/'2. Investicijos'!H9*$C9,0)</f>
        <v>0</v>
      </c>
      <c r="L9" s="69">
        <f>IFERROR('4. Metinis CAPEX'!L13/'2. Investicijos'!H9*$C9,0)</f>
        <v>0</v>
      </c>
      <c r="M9" s="69">
        <f>IFERROR('4. Metinis CAPEX'!M13/'2. Investicijos'!H9*$C9,0)</f>
        <v>0</v>
      </c>
      <c r="N9" s="69">
        <f>IFERROR('4. Metinis CAPEX'!N13/'2. Investicijos'!H9*$C9,0)</f>
        <v>0</v>
      </c>
      <c r="O9" s="69">
        <f>IFERROR('4. Metinis CAPEX'!O13/'2. Investicijos'!H9*$C9,0)</f>
        <v>0</v>
      </c>
      <c r="P9" s="69" cm="1">
        <f t="array" ref="P9">IF($E9=0,0,SUMPRODUCT(($F$4:$O$4&lt;F$4)*($F$4:$O$4&gt;=F$4-$E9)*($F9:$O9/$E9)))</f>
        <v>0</v>
      </c>
      <c r="Q9" s="69" cm="1">
        <f t="array" ref="Q9">IF($E9=0,0,SUMPRODUCT(($F$4:$O$4&lt;G$4)*($F$4:$O$4&gt;=G$4-$E9)*($F9:$O9/$E9)))</f>
        <v>0</v>
      </c>
      <c r="R9" s="69" cm="1">
        <f t="array" ref="R9">IF($E9=0,0,SUMPRODUCT(($F$4:$O$4&lt;H$4)*($F$4:$O$4&gt;=H$4-$E9)*($F9:$O9/$E9)))</f>
        <v>0</v>
      </c>
      <c r="S9" s="69" cm="1">
        <f t="array" ref="S9">IF($E9=0,0,SUMPRODUCT(($F$4:$O$4&lt;I$4)*($F$4:$O$4&gt;=I$4-$E9)*($F9:$O9/$E9)))</f>
        <v>0</v>
      </c>
      <c r="T9" s="69" cm="1">
        <f t="array" ref="T9">IF($E9=0,0,SUMPRODUCT(($F$4:$O$4&lt;J$4)*($F$4:$O$4&gt;=J$4-$E9)*($F9:$O9/$E9)))</f>
        <v>0</v>
      </c>
      <c r="U9" s="69" cm="1">
        <f t="array" ref="U9">IF($E9=0,0,SUMPRODUCT(($F$4:$O$4&lt;K$4)*($F$4:$O$4&gt;=K$4-$E9)*($F9:$O9/$E9)))</f>
        <v>0</v>
      </c>
      <c r="V9" s="69" cm="1">
        <f t="array" ref="V9">IF($E9=0,0,SUMPRODUCT(($F$4:$O$4&lt;L$4)*($F$4:$O$4&gt;=L$4-$E9)*($F9:$O9/$E9)))</f>
        <v>0</v>
      </c>
      <c r="W9" s="69" cm="1">
        <f t="array" ref="W9">IF($E9=0,0,SUMPRODUCT(($F$4:$O$4&lt;M$4)*($F$4:$O$4&gt;=M$4-$E9)*($F9:$O9/$E9)))</f>
        <v>0</v>
      </c>
      <c r="X9" s="69" cm="1">
        <f t="array" ref="X9">IF($E9=0,0,SUMPRODUCT(($F$4:$O$4&lt;N$4)*($F$4:$O$4&gt;=N$4-$E9)*($F9:$O9/$E9)))</f>
        <v>0</v>
      </c>
      <c r="Y9" s="69" cm="1">
        <f t="array" ref="Y9">IF($E9=0,0,SUMPRODUCT(($F$4:$O$4&lt;O$4)*($F$4:$O$4&gt;=O$4-$E9)*($F9:$O9/$E9)))</f>
        <v>0</v>
      </c>
      <c r="Z9" s="69">
        <f>0</f>
        <v>0</v>
      </c>
      <c r="AA9" s="69">
        <f t="shared" si="2"/>
        <v>0</v>
      </c>
      <c r="AB9" s="69">
        <f t="shared" si="3"/>
        <v>0</v>
      </c>
      <c r="AC9" s="69">
        <f t="shared" si="4"/>
        <v>0</v>
      </c>
      <c r="AD9" s="69">
        <f t="shared" si="5"/>
        <v>0</v>
      </c>
      <c r="AE9" s="69">
        <f t="shared" si="6"/>
        <v>0</v>
      </c>
      <c r="AF9" s="69">
        <f t="shared" si="7"/>
        <v>0</v>
      </c>
      <c r="AG9" s="69">
        <f t="shared" si="8"/>
        <v>0</v>
      </c>
      <c r="AH9" s="69">
        <f t="shared" si="9"/>
        <v>0</v>
      </c>
      <c r="AI9" s="69">
        <f t="shared" si="10"/>
        <v>0</v>
      </c>
      <c r="AJ9" s="69">
        <f t="shared" si="11"/>
        <v>0</v>
      </c>
      <c r="AK9" s="69">
        <f t="shared" ref="AK9:AS9" si="15">AJ9+G9-Q9</f>
        <v>0</v>
      </c>
      <c r="AL9" s="69">
        <f t="shared" si="15"/>
        <v>0</v>
      </c>
      <c r="AM9" s="69">
        <f t="shared" si="15"/>
        <v>0</v>
      </c>
      <c r="AN9" s="69">
        <f t="shared" si="15"/>
        <v>0</v>
      </c>
      <c r="AO9" s="69">
        <f t="shared" si="15"/>
        <v>0</v>
      </c>
      <c r="AP9" s="69">
        <f t="shared" si="15"/>
        <v>0</v>
      </c>
      <c r="AQ9" s="69">
        <f t="shared" si="15"/>
        <v>0</v>
      </c>
      <c r="AR9" s="69">
        <f t="shared" si="15"/>
        <v>0</v>
      </c>
      <c r="AS9" s="69">
        <f t="shared" si="15"/>
        <v>0</v>
      </c>
    </row>
    <row r="10" spans="1:45">
      <c r="A10" s="57" t="str">
        <f>'2. Investicijos'!A10</f>
        <v>6.</v>
      </c>
      <c r="B10" s="57">
        <f>'2. Investicijos'!B10</f>
        <v>0</v>
      </c>
      <c r="C10" s="69">
        <f>MAX(0,'2. Investicijos'!N10-'2. Investicijos'!H10*IF('2. Investicijos'!G10&lt;=35,30%,40%))</f>
        <v>0</v>
      </c>
      <c r="D10" s="70">
        <f>IF('2. Investicijos'!O10="",0,'2. Investicijos'!O10/100)</f>
        <v>0</v>
      </c>
      <c r="E10" s="71">
        <f>IF('2. Investicijos'!P10="",0,'2. Investicijos'!P10)</f>
        <v>0</v>
      </c>
      <c r="F10" s="69">
        <f>IFERROR('4. Metinis CAPEX'!F14/'2. Investicijos'!H10*$C10,0)</f>
        <v>0</v>
      </c>
      <c r="G10" s="69">
        <f>IFERROR('4. Metinis CAPEX'!G14/'2. Investicijos'!H10*$C10,0)</f>
        <v>0</v>
      </c>
      <c r="H10" s="69">
        <f>IFERROR('4. Metinis CAPEX'!H14/'2. Investicijos'!H10*$C10,0)</f>
        <v>0</v>
      </c>
      <c r="I10" s="69">
        <f>IFERROR('4. Metinis CAPEX'!I14/'2. Investicijos'!H10*$C10,0)</f>
        <v>0</v>
      </c>
      <c r="J10" s="69">
        <f>IFERROR('4. Metinis CAPEX'!J14/'2. Investicijos'!H10*$C10,0)</f>
        <v>0</v>
      </c>
      <c r="K10" s="69">
        <f>IFERROR('4. Metinis CAPEX'!K14/'2. Investicijos'!H10*$C10,0)</f>
        <v>0</v>
      </c>
      <c r="L10" s="69">
        <f>IFERROR('4. Metinis CAPEX'!L14/'2. Investicijos'!H10*$C10,0)</f>
        <v>0</v>
      </c>
      <c r="M10" s="69">
        <f>IFERROR('4. Metinis CAPEX'!M14/'2. Investicijos'!H10*$C10,0)</f>
        <v>0</v>
      </c>
      <c r="N10" s="69">
        <f>IFERROR('4. Metinis CAPEX'!N14/'2. Investicijos'!H10*$C10,0)</f>
        <v>0</v>
      </c>
      <c r="O10" s="69">
        <f>IFERROR('4. Metinis CAPEX'!O14/'2. Investicijos'!H10*$C10,0)</f>
        <v>0</v>
      </c>
      <c r="P10" s="69" cm="1">
        <f t="array" ref="P10">IF($E10=0,0,SUMPRODUCT(($F$4:$O$4&lt;F$4)*($F$4:$O$4&gt;=F$4-$E10)*($F10:$O10/$E10)))</f>
        <v>0</v>
      </c>
      <c r="Q10" s="69" cm="1">
        <f t="array" ref="Q10">IF($E10=0,0,SUMPRODUCT(($F$4:$O$4&lt;G$4)*($F$4:$O$4&gt;=G$4-$E10)*($F10:$O10/$E10)))</f>
        <v>0</v>
      </c>
      <c r="R10" s="69" cm="1">
        <f t="array" ref="R10">IF($E10=0,0,SUMPRODUCT(($F$4:$O$4&lt;H$4)*($F$4:$O$4&gt;=H$4-$E10)*($F10:$O10/$E10)))</f>
        <v>0</v>
      </c>
      <c r="S10" s="69" cm="1">
        <f t="array" ref="S10">IF($E10=0,0,SUMPRODUCT(($F$4:$O$4&lt;I$4)*($F$4:$O$4&gt;=I$4-$E10)*($F10:$O10/$E10)))</f>
        <v>0</v>
      </c>
      <c r="T10" s="69" cm="1">
        <f t="array" ref="T10">IF($E10=0,0,SUMPRODUCT(($F$4:$O$4&lt;J$4)*($F$4:$O$4&gt;=J$4-$E10)*($F10:$O10/$E10)))</f>
        <v>0</v>
      </c>
      <c r="U10" s="69" cm="1">
        <f t="array" ref="U10">IF($E10=0,0,SUMPRODUCT(($F$4:$O$4&lt;K$4)*($F$4:$O$4&gt;=K$4-$E10)*($F10:$O10/$E10)))</f>
        <v>0</v>
      </c>
      <c r="V10" s="69" cm="1">
        <f t="array" ref="V10">IF($E10=0,0,SUMPRODUCT(($F$4:$O$4&lt;L$4)*($F$4:$O$4&gt;=L$4-$E10)*($F10:$O10/$E10)))</f>
        <v>0</v>
      </c>
      <c r="W10" s="69" cm="1">
        <f t="array" ref="W10">IF($E10=0,0,SUMPRODUCT(($F$4:$O$4&lt;M$4)*($F$4:$O$4&gt;=M$4-$E10)*($F10:$O10/$E10)))</f>
        <v>0</v>
      </c>
      <c r="X10" s="69" cm="1">
        <f t="array" ref="X10">IF($E10=0,0,SUMPRODUCT(($F$4:$O$4&lt;N$4)*($F$4:$O$4&gt;=N$4-$E10)*($F10:$O10/$E10)))</f>
        <v>0</v>
      </c>
      <c r="Y10" s="69" cm="1">
        <f t="array" ref="Y10">IF($E10=0,0,SUMPRODUCT(($F$4:$O$4&lt;O$4)*($F$4:$O$4&gt;=O$4-$E10)*($F10:$O10/$E10)))</f>
        <v>0</v>
      </c>
      <c r="Z10" s="69">
        <f>0</f>
        <v>0</v>
      </c>
      <c r="AA10" s="69">
        <f t="shared" si="2"/>
        <v>0</v>
      </c>
      <c r="AB10" s="69">
        <f t="shared" si="3"/>
        <v>0</v>
      </c>
      <c r="AC10" s="69">
        <f t="shared" si="4"/>
        <v>0</v>
      </c>
      <c r="AD10" s="69">
        <f t="shared" si="5"/>
        <v>0</v>
      </c>
      <c r="AE10" s="69">
        <f t="shared" si="6"/>
        <v>0</v>
      </c>
      <c r="AF10" s="69">
        <f t="shared" si="7"/>
        <v>0</v>
      </c>
      <c r="AG10" s="69">
        <f t="shared" si="8"/>
        <v>0</v>
      </c>
      <c r="AH10" s="69">
        <f t="shared" si="9"/>
        <v>0</v>
      </c>
      <c r="AI10" s="69">
        <f t="shared" si="10"/>
        <v>0</v>
      </c>
      <c r="AJ10" s="69">
        <f t="shared" si="11"/>
        <v>0</v>
      </c>
      <c r="AK10" s="69">
        <f t="shared" ref="AK10:AS10" si="16">AJ10+G10-Q10</f>
        <v>0</v>
      </c>
      <c r="AL10" s="69">
        <f t="shared" si="16"/>
        <v>0</v>
      </c>
      <c r="AM10" s="69">
        <f t="shared" si="16"/>
        <v>0</v>
      </c>
      <c r="AN10" s="69">
        <f t="shared" si="16"/>
        <v>0</v>
      </c>
      <c r="AO10" s="69">
        <f t="shared" si="16"/>
        <v>0</v>
      </c>
      <c r="AP10" s="69">
        <f t="shared" si="16"/>
        <v>0</v>
      </c>
      <c r="AQ10" s="69">
        <f t="shared" si="16"/>
        <v>0</v>
      </c>
      <c r="AR10" s="69">
        <f t="shared" si="16"/>
        <v>0</v>
      </c>
      <c r="AS10" s="69">
        <f t="shared" si="16"/>
        <v>0</v>
      </c>
    </row>
    <row r="11" spans="1:45">
      <c r="A11" s="57" t="str">
        <f>'2. Investicijos'!A11</f>
        <v>7.</v>
      </c>
      <c r="B11" s="57">
        <f>'2. Investicijos'!B11</f>
        <v>0</v>
      </c>
      <c r="C11" s="69">
        <f>MAX(0,'2. Investicijos'!N11-'2. Investicijos'!H11*IF('2. Investicijos'!G11&lt;=35,30%,40%))</f>
        <v>0</v>
      </c>
      <c r="D11" s="70">
        <f>IF('2. Investicijos'!O11="",0,'2. Investicijos'!O11/100)</f>
        <v>0</v>
      </c>
      <c r="E11" s="71">
        <f>IF('2. Investicijos'!P11="",0,'2. Investicijos'!P11)</f>
        <v>0</v>
      </c>
      <c r="F11" s="69">
        <f>IFERROR('4. Metinis CAPEX'!F15/'2. Investicijos'!H11*$C11,0)</f>
        <v>0</v>
      </c>
      <c r="G11" s="69">
        <f>IFERROR('4. Metinis CAPEX'!G15/'2. Investicijos'!H11*$C11,0)</f>
        <v>0</v>
      </c>
      <c r="H11" s="69">
        <f>IFERROR('4. Metinis CAPEX'!H15/'2. Investicijos'!H11*$C11,0)</f>
        <v>0</v>
      </c>
      <c r="I11" s="69">
        <f>IFERROR('4. Metinis CAPEX'!I15/'2. Investicijos'!H11*$C11,0)</f>
        <v>0</v>
      </c>
      <c r="J11" s="69">
        <f>IFERROR('4. Metinis CAPEX'!J15/'2. Investicijos'!H11*$C11,0)</f>
        <v>0</v>
      </c>
      <c r="K11" s="69">
        <f>IFERROR('4. Metinis CAPEX'!K15/'2. Investicijos'!H11*$C11,0)</f>
        <v>0</v>
      </c>
      <c r="L11" s="69">
        <f>IFERROR('4. Metinis CAPEX'!L15/'2. Investicijos'!H11*$C11,0)</f>
        <v>0</v>
      </c>
      <c r="M11" s="69">
        <f>IFERROR('4. Metinis CAPEX'!M15/'2. Investicijos'!H11*$C11,0)</f>
        <v>0</v>
      </c>
      <c r="N11" s="69">
        <f>IFERROR('4. Metinis CAPEX'!N15/'2. Investicijos'!H11*$C11,0)</f>
        <v>0</v>
      </c>
      <c r="O11" s="69">
        <f>IFERROR('4. Metinis CAPEX'!O15/'2. Investicijos'!H11*$C11,0)</f>
        <v>0</v>
      </c>
      <c r="P11" s="69" cm="1">
        <f t="array" ref="P11">IF($E11=0,0,SUMPRODUCT(($F$4:$O$4&lt;F$4)*($F$4:$O$4&gt;=F$4-$E11)*($F11:$O11/$E11)))</f>
        <v>0</v>
      </c>
      <c r="Q11" s="69" cm="1">
        <f t="array" ref="Q11">IF($E11=0,0,SUMPRODUCT(($F$4:$O$4&lt;G$4)*($F$4:$O$4&gt;=G$4-$E11)*($F11:$O11/$E11)))</f>
        <v>0</v>
      </c>
      <c r="R11" s="69" cm="1">
        <f t="array" ref="R11">IF($E11=0,0,SUMPRODUCT(($F$4:$O$4&lt;H$4)*($F$4:$O$4&gt;=H$4-$E11)*($F11:$O11/$E11)))</f>
        <v>0</v>
      </c>
      <c r="S11" s="69" cm="1">
        <f t="array" ref="S11">IF($E11=0,0,SUMPRODUCT(($F$4:$O$4&lt;I$4)*($F$4:$O$4&gt;=I$4-$E11)*($F11:$O11/$E11)))</f>
        <v>0</v>
      </c>
      <c r="T11" s="69" cm="1">
        <f t="array" ref="T11">IF($E11=0,0,SUMPRODUCT(($F$4:$O$4&lt;J$4)*($F$4:$O$4&gt;=J$4-$E11)*($F11:$O11/$E11)))</f>
        <v>0</v>
      </c>
      <c r="U11" s="69" cm="1">
        <f t="array" ref="U11">IF($E11=0,0,SUMPRODUCT(($F$4:$O$4&lt;K$4)*($F$4:$O$4&gt;=K$4-$E11)*($F11:$O11/$E11)))</f>
        <v>0</v>
      </c>
      <c r="V11" s="69" cm="1">
        <f t="array" ref="V11">IF($E11=0,0,SUMPRODUCT(($F$4:$O$4&lt;L$4)*($F$4:$O$4&gt;=L$4-$E11)*($F11:$O11/$E11)))</f>
        <v>0</v>
      </c>
      <c r="W11" s="69" cm="1">
        <f t="array" ref="W11">IF($E11=0,0,SUMPRODUCT(($F$4:$O$4&lt;M$4)*($F$4:$O$4&gt;=M$4-$E11)*($F11:$O11/$E11)))</f>
        <v>0</v>
      </c>
      <c r="X11" s="69" cm="1">
        <f t="array" ref="X11">IF($E11=0,0,SUMPRODUCT(($F$4:$O$4&lt;N$4)*($F$4:$O$4&gt;=N$4-$E11)*($F11:$O11/$E11)))</f>
        <v>0</v>
      </c>
      <c r="Y11" s="69" cm="1">
        <f t="array" ref="Y11">IF($E11=0,0,SUMPRODUCT(($F$4:$O$4&lt;O$4)*($F$4:$O$4&gt;=O$4-$E11)*($F11:$O11/$E11)))</f>
        <v>0</v>
      </c>
      <c r="Z11" s="69">
        <f>0</f>
        <v>0</v>
      </c>
      <c r="AA11" s="69">
        <f t="shared" si="2"/>
        <v>0</v>
      </c>
      <c r="AB11" s="69">
        <f t="shared" si="3"/>
        <v>0</v>
      </c>
      <c r="AC11" s="69">
        <f t="shared" si="4"/>
        <v>0</v>
      </c>
      <c r="AD11" s="69">
        <f t="shared" si="5"/>
        <v>0</v>
      </c>
      <c r="AE11" s="69">
        <f t="shared" si="6"/>
        <v>0</v>
      </c>
      <c r="AF11" s="69">
        <f t="shared" si="7"/>
        <v>0</v>
      </c>
      <c r="AG11" s="69">
        <f t="shared" si="8"/>
        <v>0</v>
      </c>
      <c r="AH11" s="69">
        <f t="shared" si="9"/>
        <v>0</v>
      </c>
      <c r="AI11" s="69">
        <f t="shared" si="10"/>
        <v>0</v>
      </c>
      <c r="AJ11" s="69">
        <f t="shared" si="11"/>
        <v>0</v>
      </c>
      <c r="AK11" s="69">
        <f t="shared" ref="AK11:AS11" si="17">AJ11+G11-Q11</f>
        <v>0</v>
      </c>
      <c r="AL11" s="69">
        <f t="shared" si="17"/>
        <v>0</v>
      </c>
      <c r="AM11" s="69">
        <f t="shared" si="17"/>
        <v>0</v>
      </c>
      <c r="AN11" s="69">
        <f t="shared" si="17"/>
        <v>0</v>
      </c>
      <c r="AO11" s="69">
        <f t="shared" si="17"/>
        <v>0</v>
      </c>
      <c r="AP11" s="69">
        <f t="shared" si="17"/>
        <v>0</v>
      </c>
      <c r="AQ11" s="69">
        <f t="shared" si="17"/>
        <v>0</v>
      </c>
      <c r="AR11" s="69">
        <f t="shared" si="17"/>
        <v>0</v>
      </c>
      <c r="AS11" s="69">
        <f t="shared" si="17"/>
        <v>0</v>
      </c>
    </row>
    <row r="12" spans="1:45">
      <c r="A12" s="57" t="str">
        <f>'2. Investicijos'!A12</f>
        <v>8.</v>
      </c>
      <c r="B12" s="57">
        <f>'2. Investicijos'!B12</f>
        <v>0</v>
      </c>
      <c r="C12" s="69">
        <f>MAX(0,'2. Investicijos'!N12-'2. Investicijos'!H12*IF('2. Investicijos'!G12&lt;=35,30%,40%))</f>
        <v>0</v>
      </c>
      <c r="D12" s="70">
        <f>IF('2. Investicijos'!O12="",0,'2. Investicijos'!O12/100)</f>
        <v>0</v>
      </c>
      <c r="E12" s="71">
        <f>IF('2. Investicijos'!P12="",0,'2. Investicijos'!P12)</f>
        <v>0</v>
      </c>
      <c r="F12" s="69">
        <f>IFERROR('4. Metinis CAPEX'!F16/'2. Investicijos'!H12*$C12,0)</f>
        <v>0</v>
      </c>
      <c r="G12" s="69">
        <f>IFERROR('4. Metinis CAPEX'!G16/'2. Investicijos'!H12*$C12,0)</f>
        <v>0</v>
      </c>
      <c r="H12" s="69">
        <f>IFERROR('4. Metinis CAPEX'!H16/'2. Investicijos'!H12*$C12,0)</f>
        <v>0</v>
      </c>
      <c r="I12" s="69">
        <f>IFERROR('4. Metinis CAPEX'!I16/'2. Investicijos'!H12*$C12,0)</f>
        <v>0</v>
      </c>
      <c r="J12" s="69">
        <f>IFERROR('4. Metinis CAPEX'!J16/'2. Investicijos'!H12*$C12,0)</f>
        <v>0</v>
      </c>
      <c r="K12" s="69">
        <f>IFERROR('4. Metinis CAPEX'!K16/'2. Investicijos'!H12*$C12,0)</f>
        <v>0</v>
      </c>
      <c r="L12" s="69">
        <f>IFERROR('4. Metinis CAPEX'!L16/'2. Investicijos'!H12*$C12,0)</f>
        <v>0</v>
      </c>
      <c r="M12" s="69">
        <f>IFERROR('4. Metinis CAPEX'!M16/'2. Investicijos'!H12*$C12,0)</f>
        <v>0</v>
      </c>
      <c r="N12" s="69">
        <f>IFERROR('4. Metinis CAPEX'!N16/'2. Investicijos'!H12*$C12,0)</f>
        <v>0</v>
      </c>
      <c r="O12" s="69">
        <f>IFERROR('4. Metinis CAPEX'!O16/'2. Investicijos'!H12*$C12,0)</f>
        <v>0</v>
      </c>
      <c r="P12" s="69" cm="1">
        <f t="array" ref="P12">IF($E12=0,0,SUMPRODUCT(($F$4:$O$4&lt;F$4)*($F$4:$O$4&gt;=F$4-$E12)*($F12:$O12/$E12)))</f>
        <v>0</v>
      </c>
      <c r="Q12" s="69" cm="1">
        <f t="array" ref="Q12">IF($E12=0,0,SUMPRODUCT(($F$4:$O$4&lt;G$4)*($F$4:$O$4&gt;=G$4-$E12)*($F12:$O12/$E12)))</f>
        <v>0</v>
      </c>
      <c r="R12" s="69" cm="1">
        <f t="array" ref="R12">IF($E12=0,0,SUMPRODUCT(($F$4:$O$4&lt;H$4)*($F$4:$O$4&gt;=H$4-$E12)*($F12:$O12/$E12)))</f>
        <v>0</v>
      </c>
      <c r="S12" s="69" cm="1">
        <f t="array" ref="S12">IF($E12=0,0,SUMPRODUCT(($F$4:$O$4&lt;I$4)*($F$4:$O$4&gt;=I$4-$E12)*($F12:$O12/$E12)))</f>
        <v>0</v>
      </c>
      <c r="T12" s="69" cm="1">
        <f t="array" ref="T12">IF($E12=0,0,SUMPRODUCT(($F$4:$O$4&lt;J$4)*($F$4:$O$4&gt;=J$4-$E12)*($F12:$O12/$E12)))</f>
        <v>0</v>
      </c>
      <c r="U12" s="69" cm="1">
        <f t="array" ref="U12">IF($E12=0,0,SUMPRODUCT(($F$4:$O$4&lt;K$4)*($F$4:$O$4&gt;=K$4-$E12)*($F12:$O12/$E12)))</f>
        <v>0</v>
      </c>
      <c r="V12" s="69" cm="1">
        <f t="array" ref="V12">IF($E12=0,0,SUMPRODUCT(($F$4:$O$4&lt;L$4)*($F$4:$O$4&gt;=L$4-$E12)*($F12:$O12/$E12)))</f>
        <v>0</v>
      </c>
      <c r="W12" s="69" cm="1">
        <f t="array" ref="W12">IF($E12=0,0,SUMPRODUCT(($F$4:$O$4&lt;M$4)*($F$4:$O$4&gt;=M$4-$E12)*($F12:$O12/$E12)))</f>
        <v>0</v>
      </c>
      <c r="X12" s="69" cm="1">
        <f t="array" ref="X12">IF($E12=0,0,SUMPRODUCT(($F$4:$O$4&lt;N$4)*($F$4:$O$4&gt;=N$4-$E12)*($F12:$O12/$E12)))</f>
        <v>0</v>
      </c>
      <c r="Y12" s="69" cm="1">
        <f t="array" ref="Y12">IF($E12=0,0,SUMPRODUCT(($F$4:$O$4&lt;O$4)*($F$4:$O$4&gt;=O$4-$E12)*($F12:$O12/$E12)))</f>
        <v>0</v>
      </c>
      <c r="Z12" s="69">
        <f>0</f>
        <v>0</v>
      </c>
      <c r="AA12" s="69">
        <f t="shared" si="2"/>
        <v>0</v>
      </c>
      <c r="AB12" s="69">
        <f t="shared" si="3"/>
        <v>0</v>
      </c>
      <c r="AC12" s="69">
        <f t="shared" si="4"/>
        <v>0</v>
      </c>
      <c r="AD12" s="69">
        <f t="shared" si="5"/>
        <v>0</v>
      </c>
      <c r="AE12" s="69">
        <f t="shared" si="6"/>
        <v>0</v>
      </c>
      <c r="AF12" s="69">
        <f t="shared" si="7"/>
        <v>0</v>
      </c>
      <c r="AG12" s="69">
        <f t="shared" si="8"/>
        <v>0</v>
      </c>
      <c r="AH12" s="69">
        <f t="shared" si="9"/>
        <v>0</v>
      </c>
      <c r="AI12" s="69">
        <f t="shared" si="10"/>
        <v>0</v>
      </c>
      <c r="AJ12" s="69">
        <f t="shared" si="11"/>
        <v>0</v>
      </c>
      <c r="AK12" s="69">
        <f t="shared" ref="AK12:AS12" si="18">AJ12+G12-Q12</f>
        <v>0</v>
      </c>
      <c r="AL12" s="69">
        <f t="shared" si="18"/>
        <v>0</v>
      </c>
      <c r="AM12" s="69">
        <f t="shared" si="18"/>
        <v>0</v>
      </c>
      <c r="AN12" s="69">
        <f t="shared" si="18"/>
        <v>0</v>
      </c>
      <c r="AO12" s="69">
        <f t="shared" si="18"/>
        <v>0</v>
      </c>
      <c r="AP12" s="69">
        <f t="shared" si="18"/>
        <v>0</v>
      </c>
      <c r="AQ12" s="69">
        <f t="shared" si="18"/>
        <v>0</v>
      </c>
      <c r="AR12" s="69">
        <f t="shared" si="18"/>
        <v>0</v>
      </c>
      <c r="AS12" s="69">
        <f t="shared" si="18"/>
        <v>0</v>
      </c>
    </row>
    <row r="13" spans="1:45">
      <c r="A13" s="57" t="str">
        <f>'2. Investicijos'!A13</f>
        <v>9.</v>
      </c>
      <c r="B13" s="57">
        <f>'2. Investicijos'!B13</f>
        <v>0</v>
      </c>
      <c r="C13" s="69">
        <f>MAX(0,'2. Investicijos'!N13-'2. Investicijos'!H13*IF('2. Investicijos'!G13&lt;=35,30%,40%))</f>
        <v>0</v>
      </c>
      <c r="D13" s="70">
        <f>IF('2. Investicijos'!O13="",0,'2. Investicijos'!O13/100)</f>
        <v>0</v>
      </c>
      <c r="E13" s="71">
        <f>IF('2. Investicijos'!P13="",0,'2. Investicijos'!P13)</f>
        <v>0</v>
      </c>
      <c r="F13" s="69">
        <f>IFERROR('4. Metinis CAPEX'!F17/'2. Investicijos'!H13*$C13,0)</f>
        <v>0</v>
      </c>
      <c r="G13" s="69">
        <f>IFERROR('4. Metinis CAPEX'!G17/'2. Investicijos'!H13*$C13,0)</f>
        <v>0</v>
      </c>
      <c r="H13" s="69">
        <f>IFERROR('4. Metinis CAPEX'!H17/'2. Investicijos'!H13*$C13,0)</f>
        <v>0</v>
      </c>
      <c r="I13" s="69">
        <f>IFERROR('4. Metinis CAPEX'!I17/'2. Investicijos'!H13*$C13,0)</f>
        <v>0</v>
      </c>
      <c r="J13" s="69">
        <f>IFERROR('4. Metinis CAPEX'!J17/'2. Investicijos'!H13*$C13,0)</f>
        <v>0</v>
      </c>
      <c r="K13" s="69">
        <f>IFERROR('4. Metinis CAPEX'!K17/'2. Investicijos'!H13*$C13,0)</f>
        <v>0</v>
      </c>
      <c r="L13" s="69">
        <f>IFERROR('4. Metinis CAPEX'!L17/'2. Investicijos'!H13*$C13,0)</f>
        <v>0</v>
      </c>
      <c r="M13" s="69">
        <f>IFERROR('4. Metinis CAPEX'!M17/'2. Investicijos'!H13*$C13,0)</f>
        <v>0</v>
      </c>
      <c r="N13" s="69">
        <f>IFERROR('4. Metinis CAPEX'!N17/'2. Investicijos'!H13*$C13,0)</f>
        <v>0</v>
      </c>
      <c r="O13" s="69">
        <f>IFERROR('4. Metinis CAPEX'!O17/'2. Investicijos'!H13*$C13,0)</f>
        <v>0</v>
      </c>
      <c r="P13" s="69" cm="1">
        <f t="array" ref="P13">IF($E13=0,0,SUMPRODUCT(($F$4:$O$4&lt;F$4)*($F$4:$O$4&gt;=F$4-$E13)*($F13:$O13/$E13)))</f>
        <v>0</v>
      </c>
      <c r="Q13" s="69" cm="1">
        <f t="array" ref="Q13">IF($E13=0,0,SUMPRODUCT(($F$4:$O$4&lt;G$4)*($F$4:$O$4&gt;=G$4-$E13)*($F13:$O13/$E13)))</f>
        <v>0</v>
      </c>
      <c r="R13" s="69" cm="1">
        <f t="array" ref="R13">IF($E13=0,0,SUMPRODUCT(($F$4:$O$4&lt;H$4)*($F$4:$O$4&gt;=H$4-$E13)*($F13:$O13/$E13)))</f>
        <v>0</v>
      </c>
      <c r="S13" s="69" cm="1">
        <f t="array" ref="S13">IF($E13=0,0,SUMPRODUCT(($F$4:$O$4&lt;I$4)*($F$4:$O$4&gt;=I$4-$E13)*($F13:$O13/$E13)))</f>
        <v>0</v>
      </c>
      <c r="T13" s="69" cm="1">
        <f t="array" ref="T13">IF($E13=0,0,SUMPRODUCT(($F$4:$O$4&lt;J$4)*($F$4:$O$4&gt;=J$4-$E13)*($F13:$O13/$E13)))</f>
        <v>0</v>
      </c>
      <c r="U13" s="69" cm="1">
        <f t="array" ref="U13">IF($E13=0,0,SUMPRODUCT(($F$4:$O$4&lt;K$4)*($F$4:$O$4&gt;=K$4-$E13)*($F13:$O13/$E13)))</f>
        <v>0</v>
      </c>
      <c r="V13" s="69" cm="1">
        <f t="array" ref="V13">IF($E13=0,0,SUMPRODUCT(($F$4:$O$4&lt;L$4)*($F$4:$O$4&gt;=L$4-$E13)*($F13:$O13/$E13)))</f>
        <v>0</v>
      </c>
      <c r="W13" s="69" cm="1">
        <f t="array" ref="W13">IF($E13=0,0,SUMPRODUCT(($F$4:$O$4&lt;M$4)*($F$4:$O$4&gt;=M$4-$E13)*($F13:$O13/$E13)))</f>
        <v>0</v>
      </c>
      <c r="X13" s="69" cm="1">
        <f t="array" ref="X13">IF($E13=0,0,SUMPRODUCT(($F$4:$O$4&lt;N$4)*($F$4:$O$4&gt;=N$4-$E13)*($F13:$O13/$E13)))</f>
        <v>0</v>
      </c>
      <c r="Y13" s="69" cm="1">
        <f t="array" ref="Y13">IF($E13=0,0,SUMPRODUCT(($F$4:$O$4&lt;O$4)*($F$4:$O$4&gt;=O$4-$E13)*($F13:$O13/$E13)))</f>
        <v>0</v>
      </c>
      <c r="Z13" s="69">
        <f>0</f>
        <v>0</v>
      </c>
      <c r="AA13" s="69">
        <f t="shared" si="2"/>
        <v>0</v>
      </c>
      <c r="AB13" s="69">
        <f t="shared" si="3"/>
        <v>0</v>
      </c>
      <c r="AC13" s="69">
        <f t="shared" si="4"/>
        <v>0</v>
      </c>
      <c r="AD13" s="69">
        <f t="shared" si="5"/>
        <v>0</v>
      </c>
      <c r="AE13" s="69">
        <f t="shared" si="6"/>
        <v>0</v>
      </c>
      <c r="AF13" s="69">
        <f t="shared" si="7"/>
        <v>0</v>
      </c>
      <c r="AG13" s="69">
        <f t="shared" si="8"/>
        <v>0</v>
      </c>
      <c r="AH13" s="69">
        <f t="shared" si="9"/>
        <v>0</v>
      </c>
      <c r="AI13" s="69">
        <f t="shared" si="10"/>
        <v>0</v>
      </c>
      <c r="AJ13" s="69">
        <f t="shared" si="11"/>
        <v>0</v>
      </c>
      <c r="AK13" s="69">
        <f t="shared" ref="AK13:AS13" si="19">AJ13+G13-Q13</f>
        <v>0</v>
      </c>
      <c r="AL13" s="69">
        <f t="shared" si="19"/>
        <v>0</v>
      </c>
      <c r="AM13" s="69">
        <f t="shared" si="19"/>
        <v>0</v>
      </c>
      <c r="AN13" s="69">
        <f t="shared" si="19"/>
        <v>0</v>
      </c>
      <c r="AO13" s="69">
        <f t="shared" si="19"/>
        <v>0</v>
      </c>
      <c r="AP13" s="69">
        <f t="shared" si="19"/>
        <v>0</v>
      </c>
      <c r="AQ13" s="69">
        <f t="shared" si="19"/>
        <v>0</v>
      </c>
      <c r="AR13" s="69">
        <f t="shared" si="19"/>
        <v>0</v>
      </c>
      <c r="AS13" s="69">
        <f t="shared" si="19"/>
        <v>0</v>
      </c>
    </row>
    <row r="14" spans="1:45">
      <c r="A14" s="57" t="str">
        <f>'2. Investicijos'!A14</f>
        <v>10.</v>
      </c>
      <c r="B14" s="57">
        <f>'2. Investicijos'!B14</f>
        <v>0</v>
      </c>
      <c r="C14" s="69">
        <f>MAX(0,'2. Investicijos'!N14-'2. Investicijos'!H14*IF('2. Investicijos'!G14&lt;=35,30%,40%))</f>
        <v>0</v>
      </c>
      <c r="D14" s="70">
        <f>IF('2. Investicijos'!O14="",0,'2. Investicijos'!O14/100)</f>
        <v>0</v>
      </c>
      <c r="E14" s="71">
        <f>IF('2. Investicijos'!P14="",0,'2. Investicijos'!P14)</f>
        <v>0</v>
      </c>
      <c r="F14" s="69">
        <f>IFERROR('4. Metinis CAPEX'!F18/'2. Investicijos'!H14*$C14,0)</f>
        <v>0</v>
      </c>
      <c r="G14" s="69">
        <f>IFERROR('4. Metinis CAPEX'!G18/'2. Investicijos'!H14*$C14,0)</f>
        <v>0</v>
      </c>
      <c r="H14" s="69">
        <f>IFERROR('4. Metinis CAPEX'!H18/'2. Investicijos'!H14*$C14,0)</f>
        <v>0</v>
      </c>
      <c r="I14" s="69">
        <f>IFERROR('4. Metinis CAPEX'!I18/'2. Investicijos'!H14*$C14,0)</f>
        <v>0</v>
      </c>
      <c r="J14" s="69">
        <f>IFERROR('4. Metinis CAPEX'!J18/'2. Investicijos'!H14*$C14,0)</f>
        <v>0</v>
      </c>
      <c r="K14" s="69">
        <f>IFERROR('4. Metinis CAPEX'!K18/'2. Investicijos'!H14*$C14,0)</f>
        <v>0</v>
      </c>
      <c r="L14" s="69">
        <f>IFERROR('4. Metinis CAPEX'!L18/'2. Investicijos'!H14*$C14,0)</f>
        <v>0</v>
      </c>
      <c r="M14" s="69">
        <f>IFERROR('4. Metinis CAPEX'!M18/'2. Investicijos'!H14*$C14,0)</f>
        <v>0</v>
      </c>
      <c r="N14" s="69">
        <f>IFERROR('4. Metinis CAPEX'!N18/'2. Investicijos'!H14*$C14,0)</f>
        <v>0</v>
      </c>
      <c r="O14" s="69">
        <f>IFERROR('4. Metinis CAPEX'!O18/'2. Investicijos'!H14*$C14,0)</f>
        <v>0</v>
      </c>
      <c r="P14" s="69" cm="1">
        <f t="array" ref="P14">IF($E14=0,0,SUMPRODUCT(($F$4:$O$4&lt;F$4)*($F$4:$O$4&gt;=F$4-$E14)*($F14:$O14/$E14)))</f>
        <v>0</v>
      </c>
      <c r="Q14" s="69" cm="1">
        <f t="array" ref="Q14">IF($E14=0,0,SUMPRODUCT(($F$4:$O$4&lt;G$4)*($F$4:$O$4&gt;=G$4-$E14)*($F14:$O14/$E14)))</f>
        <v>0</v>
      </c>
      <c r="R14" s="69" cm="1">
        <f t="array" ref="R14">IF($E14=0,0,SUMPRODUCT(($F$4:$O$4&lt;H$4)*($F$4:$O$4&gt;=H$4-$E14)*($F14:$O14/$E14)))</f>
        <v>0</v>
      </c>
      <c r="S14" s="69" cm="1">
        <f t="array" ref="S14">IF($E14=0,0,SUMPRODUCT(($F$4:$O$4&lt;I$4)*($F$4:$O$4&gt;=I$4-$E14)*($F14:$O14/$E14)))</f>
        <v>0</v>
      </c>
      <c r="T14" s="69" cm="1">
        <f t="array" ref="T14">IF($E14=0,0,SUMPRODUCT(($F$4:$O$4&lt;J$4)*($F$4:$O$4&gt;=J$4-$E14)*($F14:$O14/$E14)))</f>
        <v>0</v>
      </c>
      <c r="U14" s="69" cm="1">
        <f t="array" ref="U14">IF($E14=0,0,SUMPRODUCT(($F$4:$O$4&lt;K$4)*($F$4:$O$4&gt;=K$4-$E14)*($F14:$O14/$E14)))</f>
        <v>0</v>
      </c>
      <c r="V14" s="69" cm="1">
        <f t="array" ref="V14">IF($E14=0,0,SUMPRODUCT(($F$4:$O$4&lt;L$4)*($F$4:$O$4&gt;=L$4-$E14)*($F14:$O14/$E14)))</f>
        <v>0</v>
      </c>
      <c r="W14" s="69" cm="1">
        <f t="array" ref="W14">IF($E14=0,0,SUMPRODUCT(($F$4:$O$4&lt;M$4)*($F$4:$O$4&gt;=M$4-$E14)*($F14:$O14/$E14)))</f>
        <v>0</v>
      </c>
      <c r="X14" s="69" cm="1">
        <f t="array" ref="X14">IF($E14=0,0,SUMPRODUCT(($F$4:$O$4&lt;N$4)*($F$4:$O$4&gt;=N$4-$E14)*($F14:$O14/$E14)))</f>
        <v>0</v>
      </c>
      <c r="Y14" s="69" cm="1">
        <f t="array" ref="Y14">IF($E14=0,0,SUMPRODUCT(($F$4:$O$4&lt;O$4)*($F$4:$O$4&gt;=O$4-$E14)*($F14:$O14/$E14)))</f>
        <v>0</v>
      </c>
      <c r="Z14" s="69">
        <f>0</f>
        <v>0</v>
      </c>
      <c r="AA14" s="69">
        <f t="shared" si="2"/>
        <v>0</v>
      </c>
      <c r="AB14" s="69">
        <f t="shared" si="3"/>
        <v>0</v>
      </c>
      <c r="AC14" s="69">
        <f t="shared" si="4"/>
        <v>0</v>
      </c>
      <c r="AD14" s="69">
        <f t="shared" si="5"/>
        <v>0</v>
      </c>
      <c r="AE14" s="69">
        <f t="shared" si="6"/>
        <v>0</v>
      </c>
      <c r="AF14" s="69">
        <f t="shared" si="7"/>
        <v>0</v>
      </c>
      <c r="AG14" s="69">
        <f t="shared" si="8"/>
        <v>0</v>
      </c>
      <c r="AH14" s="69">
        <f t="shared" si="9"/>
        <v>0</v>
      </c>
      <c r="AI14" s="69">
        <f t="shared" si="10"/>
        <v>0</v>
      </c>
      <c r="AJ14" s="69">
        <f t="shared" si="11"/>
        <v>0</v>
      </c>
      <c r="AK14" s="69">
        <f t="shared" ref="AK14:AS14" si="20">AJ14+G14-Q14</f>
        <v>0</v>
      </c>
      <c r="AL14" s="69">
        <f t="shared" si="20"/>
        <v>0</v>
      </c>
      <c r="AM14" s="69">
        <f t="shared" si="20"/>
        <v>0</v>
      </c>
      <c r="AN14" s="69">
        <f t="shared" si="20"/>
        <v>0</v>
      </c>
      <c r="AO14" s="69">
        <f t="shared" si="20"/>
        <v>0</v>
      </c>
      <c r="AP14" s="69">
        <f t="shared" si="20"/>
        <v>0</v>
      </c>
      <c r="AQ14" s="69">
        <f t="shared" si="20"/>
        <v>0</v>
      </c>
      <c r="AR14" s="69">
        <f t="shared" si="20"/>
        <v>0</v>
      </c>
      <c r="AS14" s="69">
        <f t="shared" si="20"/>
        <v>0</v>
      </c>
    </row>
    <row r="15" spans="1:45">
      <c r="A15" s="57" t="str">
        <f>'2. Investicijos'!A15</f>
        <v>11.</v>
      </c>
      <c r="B15" s="57">
        <f>'2. Investicijos'!B15</f>
        <v>0</v>
      </c>
      <c r="C15" s="69">
        <f>MAX(0,'2. Investicijos'!N15-'2. Investicijos'!H15*IF('2. Investicijos'!G15&lt;=35,30%,40%))</f>
        <v>0</v>
      </c>
      <c r="D15" s="70">
        <f>IF('2. Investicijos'!O15="",0,'2. Investicijos'!O15/100)</f>
        <v>0</v>
      </c>
      <c r="E15" s="71">
        <f>IF('2. Investicijos'!P15="",0,'2. Investicijos'!P15)</f>
        <v>0</v>
      </c>
      <c r="F15" s="69">
        <f>IFERROR('4. Metinis CAPEX'!F19/'2. Investicijos'!H15*$C15,0)</f>
        <v>0</v>
      </c>
      <c r="G15" s="69">
        <f>IFERROR('4. Metinis CAPEX'!G19/'2. Investicijos'!H15*$C15,0)</f>
        <v>0</v>
      </c>
      <c r="H15" s="69">
        <f>IFERROR('4. Metinis CAPEX'!H19/'2. Investicijos'!H15*$C15,0)</f>
        <v>0</v>
      </c>
      <c r="I15" s="69">
        <f>IFERROR('4. Metinis CAPEX'!I19/'2. Investicijos'!H15*$C15,0)</f>
        <v>0</v>
      </c>
      <c r="J15" s="69">
        <f>IFERROR('4. Metinis CAPEX'!J19/'2. Investicijos'!H15*$C15,0)</f>
        <v>0</v>
      </c>
      <c r="K15" s="69">
        <f>IFERROR('4. Metinis CAPEX'!K19/'2. Investicijos'!H15*$C15,0)</f>
        <v>0</v>
      </c>
      <c r="L15" s="69">
        <f>IFERROR('4. Metinis CAPEX'!L19/'2. Investicijos'!H15*$C15,0)</f>
        <v>0</v>
      </c>
      <c r="M15" s="69">
        <f>IFERROR('4. Metinis CAPEX'!M19/'2. Investicijos'!H15*$C15,0)</f>
        <v>0</v>
      </c>
      <c r="N15" s="69">
        <f>IFERROR('4. Metinis CAPEX'!N19/'2. Investicijos'!H15*$C15,0)</f>
        <v>0</v>
      </c>
      <c r="O15" s="69">
        <f>IFERROR('4. Metinis CAPEX'!O19/'2. Investicijos'!H15*$C15,0)</f>
        <v>0</v>
      </c>
      <c r="P15" s="69" cm="1">
        <f t="array" ref="P15">IF($E15=0,0,SUMPRODUCT(($F$4:$O$4&lt;F$4)*($F$4:$O$4&gt;=F$4-$E15)*($F15:$O15/$E15)))</f>
        <v>0</v>
      </c>
      <c r="Q15" s="69" cm="1">
        <f t="array" ref="Q15">IF($E15=0,0,SUMPRODUCT(($F$4:$O$4&lt;G$4)*($F$4:$O$4&gt;=G$4-$E15)*($F15:$O15/$E15)))</f>
        <v>0</v>
      </c>
      <c r="R15" s="69" cm="1">
        <f t="array" ref="R15">IF($E15=0,0,SUMPRODUCT(($F$4:$O$4&lt;H$4)*($F$4:$O$4&gt;=H$4-$E15)*($F15:$O15/$E15)))</f>
        <v>0</v>
      </c>
      <c r="S15" s="69" cm="1">
        <f t="array" ref="S15">IF($E15=0,0,SUMPRODUCT(($F$4:$O$4&lt;I$4)*($F$4:$O$4&gt;=I$4-$E15)*($F15:$O15/$E15)))</f>
        <v>0</v>
      </c>
      <c r="T15" s="69" cm="1">
        <f t="array" ref="T15">IF($E15=0,0,SUMPRODUCT(($F$4:$O$4&lt;J$4)*($F$4:$O$4&gt;=J$4-$E15)*($F15:$O15/$E15)))</f>
        <v>0</v>
      </c>
      <c r="U15" s="69" cm="1">
        <f t="array" ref="U15">IF($E15=0,0,SUMPRODUCT(($F$4:$O$4&lt;K$4)*($F$4:$O$4&gt;=K$4-$E15)*($F15:$O15/$E15)))</f>
        <v>0</v>
      </c>
      <c r="V15" s="69" cm="1">
        <f t="array" ref="V15">IF($E15=0,0,SUMPRODUCT(($F$4:$O$4&lt;L$4)*($F$4:$O$4&gt;=L$4-$E15)*($F15:$O15/$E15)))</f>
        <v>0</v>
      </c>
      <c r="W15" s="69" cm="1">
        <f t="array" ref="W15">IF($E15=0,0,SUMPRODUCT(($F$4:$O$4&lt;M$4)*($F$4:$O$4&gt;=M$4-$E15)*($F15:$O15/$E15)))</f>
        <v>0</v>
      </c>
      <c r="X15" s="69" cm="1">
        <f t="array" ref="X15">IF($E15=0,0,SUMPRODUCT(($F$4:$O$4&lt;N$4)*($F$4:$O$4&gt;=N$4-$E15)*($F15:$O15/$E15)))</f>
        <v>0</v>
      </c>
      <c r="Y15" s="69" cm="1">
        <f t="array" ref="Y15">IF($E15=0,0,SUMPRODUCT(($F$4:$O$4&lt;O$4)*($F$4:$O$4&gt;=O$4-$E15)*($F15:$O15/$E15)))</f>
        <v>0</v>
      </c>
      <c r="Z15" s="69">
        <f>0</f>
        <v>0</v>
      </c>
      <c r="AA15" s="69">
        <f t="shared" si="2"/>
        <v>0</v>
      </c>
      <c r="AB15" s="69">
        <f t="shared" si="3"/>
        <v>0</v>
      </c>
      <c r="AC15" s="69">
        <f t="shared" si="4"/>
        <v>0</v>
      </c>
      <c r="AD15" s="69">
        <f t="shared" si="5"/>
        <v>0</v>
      </c>
      <c r="AE15" s="69">
        <f t="shared" si="6"/>
        <v>0</v>
      </c>
      <c r="AF15" s="69">
        <f t="shared" si="7"/>
        <v>0</v>
      </c>
      <c r="AG15" s="69">
        <f t="shared" si="8"/>
        <v>0</v>
      </c>
      <c r="AH15" s="69">
        <f t="shared" si="9"/>
        <v>0</v>
      </c>
      <c r="AI15" s="69">
        <f t="shared" si="10"/>
        <v>0</v>
      </c>
      <c r="AJ15" s="69">
        <f t="shared" si="11"/>
        <v>0</v>
      </c>
      <c r="AK15" s="69">
        <f t="shared" ref="AK15:AS15" si="21">AJ15+G15-Q15</f>
        <v>0</v>
      </c>
      <c r="AL15" s="69">
        <f t="shared" si="21"/>
        <v>0</v>
      </c>
      <c r="AM15" s="69">
        <f t="shared" si="21"/>
        <v>0</v>
      </c>
      <c r="AN15" s="69">
        <f t="shared" si="21"/>
        <v>0</v>
      </c>
      <c r="AO15" s="69">
        <f t="shared" si="21"/>
        <v>0</v>
      </c>
      <c r="AP15" s="69">
        <f t="shared" si="21"/>
        <v>0</v>
      </c>
      <c r="AQ15" s="69">
        <f t="shared" si="21"/>
        <v>0</v>
      </c>
      <c r="AR15" s="69">
        <f t="shared" si="21"/>
        <v>0</v>
      </c>
      <c r="AS15" s="69">
        <f t="shared" si="21"/>
        <v>0</v>
      </c>
    </row>
    <row r="16" spans="1:45">
      <c r="A16" s="57" t="str">
        <f>'2. Investicijos'!A16</f>
        <v>12.</v>
      </c>
      <c r="B16" s="57">
        <f>'2. Investicijos'!B16</f>
        <v>0</v>
      </c>
      <c r="C16" s="69">
        <f>MAX(0,'2. Investicijos'!N16-'2. Investicijos'!H16*IF('2. Investicijos'!G16&lt;=35,30%,40%))</f>
        <v>0</v>
      </c>
      <c r="D16" s="70">
        <f>IF('2. Investicijos'!O16="",0,'2. Investicijos'!O16/100)</f>
        <v>0</v>
      </c>
      <c r="E16" s="71">
        <f>IF('2. Investicijos'!P16="",0,'2. Investicijos'!P16)</f>
        <v>0</v>
      </c>
      <c r="F16" s="69">
        <f>IFERROR('4. Metinis CAPEX'!F20/'2. Investicijos'!H16*$C16,0)</f>
        <v>0</v>
      </c>
      <c r="G16" s="69">
        <f>IFERROR('4. Metinis CAPEX'!G20/'2. Investicijos'!H16*$C16,0)</f>
        <v>0</v>
      </c>
      <c r="H16" s="69">
        <f>IFERROR('4. Metinis CAPEX'!H20/'2. Investicijos'!H16*$C16,0)</f>
        <v>0</v>
      </c>
      <c r="I16" s="69">
        <f>IFERROR('4. Metinis CAPEX'!I20/'2. Investicijos'!H16*$C16,0)</f>
        <v>0</v>
      </c>
      <c r="J16" s="69">
        <f>IFERROR('4. Metinis CAPEX'!J20/'2. Investicijos'!H16*$C16,0)</f>
        <v>0</v>
      </c>
      <c r="K16" s="69">
        <f>IFERROR('4. Metinis CAPEX'!K20/'2. Investicijos'!H16*$C16,0)</f>
        <v>0</v>
      </c>
      <c r="L16" s="69">
        <f>IFERROR('4. Metinis CAPEX'!L20/'2. Investicijos'!H16*$C16,0)</f>
        <v>0</v>
      </c>
      <c r="M16" s="69">
        <f>IFERROR('4. Metinis CAPEX'!M20/'2. Investicijos'!H16*$C16,0)</f>
        <v>0</v>
      </c>
      <c r="N16" s="69">
        <f>IFERROR('4. Metinis CAPEX'!N20/'2. Investicijos'!H16*$C16,0)</f>
        <v>0</v>
      </c>
      <c r="O16" s="69">
        <f>IFERROR('4. Metinis CAPEX'!O20/'2. Investicijos'!H16*$C16,0)</f>
        <v>0</v>
      </c>
      <c r="P16" s="69" cm="1">
        <f t="array" ref="P16">IF($E16=0,0,SUMPRODUCT(($F$4:$O$4&lt;F$4)*($F$4:$O$4&gt;=F$4-$E16)*($F16:$O16/$E16)))</f>
        <v>0</v>
      </c>
      <c r="Q16" s="69" cm="1">
        <f t="array" ref="Q16">IF($E16=0,0,SUMPRODUCT(($F$4:$O$4&lt;G$4)*($F$4:$O$4&gt;=G$4-$E16)*($F16:$O16/$E16)))</f>
        <v>0</v>
      </c>
      <c r="R16" s="69" cm="1">
        <f t="array" ref="R16">IF($E16=0,0,SUMPRODUCT(($F$4:$O$4&lt;H$4)*($F$4:$O$4&gt;=H$4-$E16)*($F16:$O16/$E16)))</f>
        <v>0</v>
      </c>
      <c r="S16" s="69" cm="1">
        <f t="array" ref="S16">IF($E16=0,0,SUMPRODUCT(($F$4:$O$4&lt;I$4)*($F$4:$O$4&gt;=I$4-$E16)*($F16:$O16/$E16)))</f>
        <v>0</v>
      </c>
      <c r="T16" s="69" cm="1">
        <f t="array" ref="T16">IF($E16=0,0,SUMPRODUCT(($F$4:$O$4&lt;J$4)*($F$4:$O$4&gt;=J$4-$E16)*($F16:$O16/$E16)))</f>
        <v>0</v>
      </c>
      <c r="U16" s="69" cm="1">
        <f t="array" ref="U16">IF($E16=0,0,SUMPRODUCT(($F$4:$O$4&lt;K$4)*($F$4:$O$4&gt;=K$4-$E16)*($F16:$O16/$E16)))</f>
        <v>0</v>
      </c>
      <c r="V16" s="69" cm="1">
        <f t="array" ref="V16">IF($E16=0,0,SUMPRODUCT(($F$4:$O$4&lt;L$4)*($F$4:$O$4&gt;=L$4-$E16)*($F16:$O16/$E16)))</f>
        <v>0</v>
      </c>
      <c r="W16" s="69" cm="1">
        <f t="array" ref="W16">IF($E16=0,0,SUMPRODUCT(($F$4:$O$4&lt;M$4)*($F$4:$O$4&gt;=M$4-$E16)*($F16:$O16/$E16)))</f>
        <v>0</v>
      </c>
      <c r="X16" s="69" cm="1">
        <f t="array" ref="X16">IF($E16=0,0,SUMPRODUCT(($F$4:$O$4&lt;N$4)*($F$4:$O$4&gt;=N$4-$E16)*($F16:$O16/$E16)))</f>
        <v>0</v>
      </c>
      <c r="Y16" s="69" cm="1">
        <f t="array" ref="Y16">IF($E16=0,0,SUMPRODUCT(($F$4:$O$4&lt;O$4)*($F$4:$O$4&gt;=O$4-$E16)*($F16:$O16/$E16)))</f>
        <v>0</v>
      </c>
      <c r="Z16" s="69">
        <f>0</f>
        <v>0</v>
      </c>
      <c r="AA16" s="69">
        <f t="shared" si="2"/>
        <v>0</v>
      </c>
      <c r="AB16" s="69">
        <f t="shared" si="3"/>
        <v>0</v>
      </c>
      <c r="AC16" s="69">
        <f t="shared" si="4"/>
        <v>0</v>
      </c>
      <c r="AD16" s="69">
        <f t="shared" si="5"/>
        <v>0</v>
      </c>
      <c r="AE16" s="69">
        <f t="shared" si="6"/>
        <v>0</v>
      </c>
      <c r="AF16" s="69">
        <f t="shared" si="7"/>
        <v>0</v>
      </c>
      <c r="AG16" s="69">
        <f t="shared" si="8"/>
        <v>0</v>
      </c>
      <c r="AH16" s="69">
        <f t="shared" si="9"/>
        <v>0</v>
      </c>
      <c r="AI16" s="69">
        <f t="shared" si="10"/>
        <v>0</v>
      </c>
      <c r="AJ16" s="69">
        <f t="shared" si="11"/>
        <v>0</v>
      </c>
      <c r="AK16" s="69">
        <f t="shared" ref="AK16:AS16" si="22">AJ16+G16-Q16</f>
        <v>0</v>
      </c>
      <c r="AL16" s="69">
        <f t="shared" si="22"/>
        <v>0</v>
      </c>
      <c r="AM16" s="69">
        <f t="shared" si="22"/>
        <v>0</v>
      </c>
      <c r="AN16" s="69">
        <f t="shared" si="22"/>
        <v>0</v>
      </c>
      <c r="AO16" s="69">
        <f t="shared" si="22"/>
        <v>0</v>
      </c>
      <c r="AP16" s="69">
        <f t="shared" si="22"/>
        <v>0</v>
      </c>
      <c r="AQ16" s="69">
        <f t="shared" si="22"/>
        <v>0</v>
      </c>
      <c r="AR16" s="69">
        <f t="shared" si="22"/>
        <v>0</v>
      </c>
      <c r="AS16" s="69">
        <f t="shared" si="22"/>
        <v>0</v>
      </c>
    </row>
    <row r="17" spans="1:45">
      <c r="A17" s="57" t="str">
        <f>'2. Investicijos'!A17</f>
        <v>13.</v>
      </c>
      <c r="B17" s="57">
        <f>'2. Investicijos'!B17</f>
        <v>0</v>
      </c>
      <c r="C17" s="69">
        <f>MAX(0,'2. Investicijos'!N17-'2. Investicijos'!H17*IF('2. Investicijos'!G17&lt;=35,30%,40%))</f>
        <v>0</v>
      </c>
      <c r="D17" s="70">
        <f>IF('2. Investicijos'!O17="",0,'2. Investicijos'!O17/100)</f>
        <v>0</v>
      </c>
      <c r="E17" s="71">
        <f>IF('2. Investicijos'!P17="",0,'2. Investicijos'!P17)</f>
        <v>0</v>
      </c>
      <c r="F17" s="69">
        <f>IFERROR('4. Metinis CAPEX'!F21/'2. Investicijos'!H17*$C17,0)</f>
        <v>0</v>
      </c>
      <c r="G17" s="69">
        <f>IFERROR('4. Metinis CAPEX'!G21/'2. Investicijos'!H17*$C17,0)</f>
        <v>0</v>
      </c>
      <c r="H17" s="69">
        <f>IFERROR('4. Metinis CAPEX'!H21/'2. Investicijos'!H17*$C17,0)</f>
        <v>0</v>
      </c>
      <c r="I17" s="69">
        <f>IFERROR('4. Metinis CAPEX'!I21/'2. Investicijos'!H17*$C17,0)</f>
        <v>0</v>
      </c>
      <c r="J17" s="69">
        <f>IFERROR('4. Metinis CAPEX'!J21/'2. Investicijos'!H17*$C17,0)</f>
        <v>0</v>
      </c>
      <c r="K17" s="69">
        <f>IFERROR('4. Metinis CAPEX'!K21/'2. Investicijos'!H17*$C17,0)</f>
        <v>0</v>
      </c>
      <c r="L17" s="69">
        <f>IFERROR('4. Metinis CAPEX'!L21/'2. Investicijos'!H17*$C17,0)</f>
        <v>0</v>
      </c>
      <c r="M17" s="69">
        <f>IFERROR('4. Metinis CAPEX'!M21/'2. Investicijos'!H17*$C17,0)</f>
        <v>0</v>
      </c>
      <c r="N17" s="69">
        <f>IFERROR('4. Metinis CAPEX'!N21/'2. Investicijos'!H17*$C17,0)</f>
        <v>0</v>
      </c>
      <c r="O17" s="69">
        <f>IFERROR('4. Metinis CAPEX'!O21/'2. Investicijos'!H17*$C17,0)</f>
        <v>0</v>
      </c>
      <c r="P17" s="69" cm="1">
        <f t="array" ref="P17">IF($E17=0,0,SUMPRODUCT(($F$4:$O$4&lt;F$4)*($F$4:$O$4&gt;=F$4-$E17)*($F17:$O17/$E17)))</f>
        <v>0</v>
      </c>
      <c r="Q17" s="69" cm="1">
        <f t="array" ref="Q17">IF($E17=0,0,SUMPRODUCT(($F$4:$O$4&lt;G$4)*($F$4:$O$4&gt;=G$4-$E17)*($F17:$O17/$E17)))</f>
        <v>0</v>
      </c>
      <c r="R17" s="69" cm="1">
        <f t="array" ref="R17">IF($E17=0,0,SUMPRODUCT(($F$4:$O$4&lt;H$4)*($F$4:$O$4&gt;=H$4-$E17)*($F17:$O17/$E17)))</f>
        <v>0</v>
      </c>
      <c r="S17" s="69" cm="1">
        <f t="array" ref="S17">IF($E17=0,0,SUMPRODUCT(($F$4:$O$4&lt;I$4)*($F$4:$O$4&gt;=I$4-$E17)*($F17:$O17/$E17)))</f>
        <v>0</v>
      </c>
      <c r="T17" s="69" cm="1">
        <f t="array" ref="T17">IF($E17=0,0,SUMPRODUCT(($F$4:$O$4&lt;J$4)*($F$4:$O$4&gt;=J$4-$E17)*($F17:$O17/$E17)))</f>
        <v>0</v>
      </c>
      <c r="U17" s="69" cm="1">
        <f t="array" ref="U17">IF($E17=0,0,SUMPRODUCT(($F$4:$O$4&lt;K$4)*($F$4:$O$4&gt;=K$4-$E17)*($F17:$O17/$E17)))</f>
        <v>0</v>
      </c>
      <c r="V17" s="69" cm="1">
        <f t="array" ref="V17">IF($E17=0,0,SUMPRODUCT(($F$4:$O$4&lt;L$4)*($F$4:$O$4&gt;=L$4-$E17)*($F17:$O17/$E17)))</f>
        <v>0</v>
      </c>
      <c r="W17" s="69" cm="1">
        <f t="array" ref="W17">IF($E17=0,0,SUMPRODUCT(($F$4:$O$4&lt;M$4)*($F$4:$O$4&gt;=M$4-$E17)*($F17:$O17/$E17)))</f>
        <v>0</v>
      </c>
      <c r="X17" s="69" cm="1">
        <f t="array" ref="X17">IF($E17=0,0,SUMPRODUCT(($F$4:$O$4&lt;N$4)*($F$4:$O$4&gt;=N$4-$E17)*($F17:$O17/$E17)))</f>
        <v>0</v>
      </c>
      <c r="Y17" s="69" cm="1">
        <f t="array" ref="Y17">IF($E17=0,0,SUMPRODUCT(($F$4:$O$4&lt;O$4)*($F$4:$O$4&gt;=O$4-$E17)*($F17:$O17/$E17)))</f>
        <v>0</v>
      </c>
      <c r="Z17" s="69">
        <f>0</f>
        <v>0</v>
      </c>
      <c r="AA17" s="69">
        <f t="shared" si="2"/>
        <v>0</v>
      </c>
      <c r="AB17" s="69">
        <f t="shared" si="3"/>
        <v>0</v>
      </c>
      <c r="AC17" s="69">
        <f t="shared" si="4"/>
        <v>0</v>
      </c>
      <c r="AD17" s="69">
        <f t="shared" si="5"/>
        <v>0</v>
      </c>
      <c r="AE17" s="69">
        <f t="shared" si="6"/>
        <v>0</v>
      </c>
      <c r="AF17" s="69">
        <f t="shared" si="7"/>
        <v>0</v>
      </c>
      <c r="AG17" s="69">
        <f t="shared" si="8"/>
        <v>0</v>
      </c>
      <c r="AH17" s="69">
        <f t="shared" si="9"/>
        <v>0</v>
      </c>
      <c r="AI17" s="69">
        <f t="shared" si="10"/>
        <v>0</v>
      </c>
      <c r="AJ17" s="69">
        <f t="shared" si="11"/>
        <v>0</v>
      </c>
      <c r="AK17" s="69">
        <f t="shared" ref="AK17:AS17" si="23">AJ17+G17-Q17</f>
        <v>0</v>
      </c>
      <c r="AL17" s="69">
        <f t="shared" si="23"/>
        <v>0</v>
      </c>
      <c r="AM17" s="69">
        <f t="shared" si="23"/>
        <v>0</v>
      </c>
      <c r="AN17" s="69">
        <f t="shared" si="23"/>
        <v>0</v>
      </c>
      <c r="AO17" s="69">
        <f t="shared" si="23"/>
        <v>0</v>
      </c>
      <c r="AP17" s="69">
        <f t="shared" si="23"/>
        <v>0</v>
      </c>
      <c r="AQ17" s="69">
        <f t="shared" si="23"/>
        <v>0</v>
      </c>
      <c r="AR17" s="69">
        <f t="shared" si="23"/>
        <v>0</v>
      </c>
      <c r="AS17" s="69">
        <f t="shared" si="23"/>
        <v>0</v>
      </c>
    </row>
    <row r="18" spans="1:45">
      <c r="A18" s="57" t="str">
        <f>'2. Investicijos'!A18</f>
        <v>14.</v>
      </c>
      <c r="B18" s="57">
        <f>'2. Investicijos'!B18</f>
        <v>0</v>
      </c>
      <c r="C18" s="69">
        <f>MAX(0,'2. Investicijos'!N18-'2. Investicijos'!H18*IF('2. Investicijos'!G18&lt;=35,30%,40%))</f>
        <v>0</v>
      </c>
      <c r="D18" s="70">
        <f>IF('2. Investicijos'!O18="",0,'2. Investicijos'!O18/100)</f>
        <v>0</v>
      </c>
      <c r="E18" s="71">
        <f>IF('2. Investicijos'!P18="",0,'2. Investicijos'!P18)</f>
        <v>0</v>
      </c>
      <c r="F18" s="69">
        <f>IFERROR('4. Metinis CAPEX'!F22/'2. Investicijos'!H18*$C18,0)</f>
        <v>0</v>
      </c>
      <c r="G18" s="69">
        <f>IFERROR('4. Metinis CAPEX'!G22/'2. Investicijos'!H18*$C18,0)</f>
        <v>0</v>
      </c>
      <c r="H18" s="69">
        <f>IFERROR('4. Metinis CAPEX'!H22/'2. Investicijos'!H18*$C18,0)</f>
        <v>0</v>
      </c>
      <c r="I18" s="69">
        <f>IFERROR('4. Metinis CAPEX'!I22/'2. Investicijos'!H18*$C18,0)</f>
        <v>0</v>
      </c>
      <c r="J18" s="69">
        <f>IFERROR('4. Metinis CAPEX'!J22/'2. Investicijos'!H18*$C18,0)</f>
        <v>0</v>
      </c>
      <c r="K18" s="69">
        <f>IFERROR('4. Metinis CAPEX'!K22/'2. Investicijos'!H18*$C18,0)</f>
        <v>0</v>
      </c>
      <c r="L18" s="69">
        <f>IFERROR('4. Metinis CAPEX'!L22/'2. Investicijos'!H18*$C18,0)</f>
        <v>0</v>
      </c>
      <c r="M18" s="69">
        <f>IFERROR('4. Metinis CAPEX'!M22/'2. Investicijos'!H18*$C18,0)</f>
        <v>0</v>
      </c>
      <c r="N18" s="69">
        <f>IFERROR('4. Metinis CAPEX'!N22/'2. Investicijos'!H18*$C18,0)</f>
        <v>0</v>
      </c>
      <c r="O18" s="69">
        <f>IFERROR('4. Metinis CAPEX'!O22/'2. Investicijos'!H18*$C18,0)</f>
        <v>0</v>
      </c>
      <c r="P18" s="69" cm="1">
        <f t="array" ref="P18">IF($E18=0,0,SUMPRODUCT(($F$4:$O$4&lt;F$4)*($F$4:$O$4&gt;=F$4-$E18)*($F18:$O18/$E18)))</f>
        <v>0</v>
      </c>
      <c r="Q18" s="69" cm="1">
        <f t="array" ref="Q18">IF($E18=0,0,SUMPRODUCT(($F$4:$O$4&lt;G$4)*($F$4:$O$4&gt;=G$4-$E18)*($F18:$O18/$E18)))</f>
        <v>0</v>
      </c>
      <c r="R18" s="69" cm="1">
        <f t="array" ref="R18">IF($E18=0,0,SUMPRODUCT(($F$4:$O$4&lt;H$4)*($F$4:$O$4&gt;=H$4-$E18)*($F18:$O18/$E18)))</f>
        <v>0</v>
      </c>
      <c r="S18" s="69" cm="1">
        <f t="array" ref="S18">IF($E18=0,0,SUMPRODUCT(($F$4:$O$4&lt;I$4)*($F$4:$O$4&gt;=I$4-$E18)*($F18:$O18/$E18)))</f>
        <v>0</v>
      </c>
      <c r="T18" s="69" cm="1">
        <f t="array" ref="T18">IF($E18=0,0,SUMPRODUCT(($F$4:$O$4&lt;J$4)*($F$4:$O$4&gt;=J$4-$E18)*($F18:$O18/$E18)))</f>
        <v>0</v>
      </c>
      <c r="U18" s="69" cm="1">
        <f t="array" ref="U18">IF($E18=0,0,SUMPRODUCT(($F$4:$O$4&lt;K$4)*($F$4:$O$4&gt;=K$4-$E18)*($F18:$O18/$E18)))</f>
        <v>0</v>
      </c>
      <c r="V18" s="69" cm="1">
        <f t="array" ref="V18">IF($E18=0,0,SUMPRODUCT(($F$4:$O$4&lt;L$4)*($F$4:$O$4&gt;=L$4-$E18)*($F18:$O18/$E18)))</f>
        <v>0</v>
      </c>
      <c r="W18" s="69" cm="1">
        <f t="array" ref="W18">IF($E18=0,0,SUMPRODUCT(($F$4:$O$4&lt;M$4)*($F$4:$O$4&gt;=M$4-$E18)*($F18:$O18/$E18)))</f>
        <v>0</v>
      </c>
      <c r="X18" s="69" cm="1">
        <f t="array" ref="X18">IF($E18=0,0,SUMPRODUCT(($F$4:$O$4&lt;N$4)*($F$4:$O$4&gt;=N$4-$E18)*($F18:$O18/$E18)))</f>
        <v>0</v>
      </c>
      <c r="Y18" s="69" cm="1">
        <f t="array" ref="Y18">IF($E18=0,0,SUMPRODUCT(($F$4:$O$4&lt;O$4)*($F$4:$O$4&gt;=O$4-$E18)*($F18:$O18/$E18)))</f>
        <v>0</v>
      </c>
      <c r="Z18" s="69">
        <f>0</f>
        <v>0</v>
      </c>
      <c r="AA18" s="69">
        <f t="shared" si="2"/>
        <v>0</v>
      </c>
      <c r="AB18" s="69">
        <f t="shared" si="3"/>
        <v>0</v>
      </c>
      <c r="AC18" s="69">
        <f t="shared" si="4"/>
        <v>0</v>
      </c>
      <c r="AD18" s="69">
        <f t="shared" si="5"/>
        <v>0</v>
      </c>
      <c r="AE18" s="69">
        <f t="shared" si="6"/>
        <v>0</v>
      </c>
      <c r="AF18" s="69">
        <f t="shared" si="7"/>
        <v>0</v>
      </c>
      <c r="AG18" s="69">
        <f t="shared" si="8"/>
        <v>0</v>
      </c>
      <c r="AH18" s="69">
        <f t="shared" si="9"/>
        <v>0</v>
      </c>
      <c r="AI18" s="69">
        <f t="shared" si="10"/>
        <v>0</v>
      </c>
      <c r="AJ18" s="69">
        <f t="shared" si="11"/>
        <v>0</v>
      </c>
      <c r="AK18" s="69">
        <f t="shared" ref="AK18:AS18" si="24">AJ18+G18-Q18</f>
        <v>0</v>
      </c>
      <c r="AL18" s="69">
        <f t="shared" si="24"/>
        <v>0</v>
      </c>
      <c r="AM18" s="69">
        <f t="shared" si="24"/>
        <v>0</v>
      </c>
      <c r="AN18" s="69">
        <f t="shared" si="24"/>
        <v>0</v>
      </c>
      <c r="AO18" s="69">
        <f t="shared" si="24"/>
        <v>0</v>
      </c>
      <c r="AP18" s="69">
        <f t="shared" si="24"/>
        <v>0</v>
      </c>
      <c r="AQ18" s="69">
        <f t="shared" si="24"/>
        <v>0</v>
      </c>
      <c r="AR18" s="69">
        <f t="shared" si="24"/>
        <v>0</v>
      </c>
      <c r="AS18" s="69">
        <f t="shared" si="24"/>
        <v>0</v>
      </c>
    </row>
    <row r="19" spans="1:45">
      <c r="A19" s="57" t="str">
        <f>'2. Investicijos'!A19</f>
        <v>15.</v>
      </c>
      <c r="B19" s="57">
        <f>'2. Investicijos'!B19</f>
        <v>0</v>
      </c>
      <c r="C19" s="69">
        <f>MAX(0,'2. Investicijos'!N19-'2. Investicijos'!H19*IF('2. Investicijos'!G19&lt;=35,30%,40%))</f>
        <v>0</v>
      </c>
      <c r="D19" s="70">
        <f>IF('2. Investicijos'!O19="",0,'2. Investicijos'!O19/100)</f>
        <v>0</v>
      </c>
      <c r="E19" s="71">
        <f>IF('2. Investicijos'!P19="",0,'2. Investicijos'!P19)</f>
        <v>0</v>
      </c>
      <c r="F19" s="69">
        <f>IFERROR('4. Metinis CAPEX'!F23/'2. Investicijos'!H19*$C19,0)</f>
        <v>0</v>
      </c>
      <c r="G19" s="69">
        <f>IFERROR('4. Metinis CAPEX'!G23/'2. Investicijos'!H19*$C19,0)</f>
        <v>0</v>
      </c>
      <c r="H19" s="69">
        <f>IFERROR('4. Metinis CAPEX'!H23/'2. Investicijos'!H19*$C19,0)</f>
        <v>0</v>
      </c>
      <c r="I19" s="69">
        <f>IFERROR('4. Metinis CAPEX'!I23/'2. Investicijos'!H19*$C19,0)</f>
        <v>0</v>
      </c>
      <c r="J19" s="69">
        <f>IFERROR('4. Metinis CAPEX'!J23/'2. Investicijos'!H19*$C19,0)</f>
        <v>0</v>
      </c>
      <c r="K19" s="69">
        <f>IFERROR('4. Metinis CAPEX'!K23/'2. Investicijos'!H19*$C19,0)</f>
        <v>0</v>
      </c>
      <c r="L19" s="69">
        <f>IFERROR('4. Metinis CAPEX'!L23/'2. Investicijos'!H19*$C19,0)</f>
        <v>0</v>
      </c>
      <c r="M19" s="69">
        <f>IFERROR('4. Metinis CAPEX'!M23/'2. Investicijos'!H19*$C19,0)</f>
        <v>0</v>
      </c>
      <c r="N19" s="69">
        <f>IFERROR('4. Metinis CAPEX'!N23/'2. Investicijos'!H19*$C19,0)</f>
        <v>0</v>
      </c>
      <c r="O19" s="69">
        <f>IFERROR('4. Metinis CAPEX'!O23/'2. Investicijos'!H19*$C19,0)</f>
        <v>0</v>
      </c>
      <c r="P19" s="69" cm="1">
        <f t="array" ref="P19">IF($E19=0,0,SUMPRODUCT(($F$4:$O$4&lt;F$4)*($F$4:$O$4&gt;=F$4-$E19)*($F19:$O19/$E19)))</f>
        <v>0</v>
      </c>
      <c r="Q19" s="69" cm="1">
        <f t="array" ref="Q19">IF($E19=0,0,SUMPRODUCT(($F$4:$O$4&lt;G$4)*($F$4:$O$4&gt;=G$4-$E19)*($F19:$O19/$E19)))</f>
        <v>0</v>
      </c>
      <c r="R19" s="69" cm="1">
        <f t="array" ref="R19">IF($E19=0,0,SUMPRODUCT(($F$4:$O$4&lt;H$4)*($F$4:$O$4&gt;=H$4-$E19)*($F19:$O19/$E19)))</f>
        <v>0</v>
      </c>
      <c r="S19" s="69" cm="1">
        <f t="array" ref="S19">IF($E19=0,0,SUMPRODUCT(($F$4:$O$4&lt;I$4)*($F$4:$O$4&gt;=I$4-$E19)*($F19:$O19/$E19)))</f>
        <v>0</v>
      </c>
      <c r="T19" s="69" cm="1">
        <f t="array" ref="T19">IF($E19=0,0,SUMPRODUCT(($F$4:$O$4&lt;J$4)*($F$4:$O$4&gt;=J$4-$E19)*($F19:$O19/$E19)))</f>
        <v>0</v>
      </c>
      <c r="U19" s="69" cm="1">
        <f t="array" ref="U19">IF($E19=0,0,SUMPRODUCT(($F$4:$O$4&lt;K$4)*($F$4:$O$4&gt;=K$4-$E19)*($F19:$O19/$E19)))</f>
        <v>0</v>
      </c>
      <c r="V19" s="69" cm="1">
        <f t="array" ref="V19">IF($E19=0,0,SUMPRODUCT(($F$4:$O$4&lt;L$4)*($F$4:$O$4&gt;=L$4-$E19)*($F19:$O19/$E19)))</f>
        <v>0</v>
      </c>
      <c r="W19" s="69" cm="1">
        <f t="array" ref="W19">IF($E19=0,0,SUMPRODUCT(($F$4:$O$4&lt;M$4)*($F$4:$O$4&gt;=M$4-$E19)*($F19:$O19/$E19)))</f>
        <v>0</v>
      </c>
      <c r="X19" s="69" cm="1">
        <f t="array" ref="X19">IF($E19=0,0,SUMPRODUCT(($F$4:$O$4&lt;N$4)*($F$4:$O$4&gt;=N$4-$E19)*($F19:$O19/$E19)))</f>
        <v>0</v>
      </c>
      <c r="Y19" s="69" cm="1">
        <f t="array" ref="Y19">IF($E19=0,0,SUMPRODUCT(($F$4:$O$4&lt;O$4)*($F$4:$O$4&gt;=O$4-$E19)*($F19:$O19/$E19)))</f>
        <v>0</v>
      </c>
      <c r="Z19" s="69">
        <f>0</f>
        <v>0</v>
      </c>
      <c r="AA19" s="69">
        <f t="shared" si="2"/>
        <v>0</v>
      </c>
      <c r="AB19" s="69">
        <f t="shared" si="3"/>
        <v>0</v>
      </c>
      <c r="AC19" s="69">
        <f t="shared" si="4"/>
        <v>0</v>
      </c>
      <c r="AD19" s="69">
        <f t="shared" si="5"/>
        <v>0</v>
      </c>
      <c r="AE19" s="69">
        <f t="shared" si="6"/>
        <v>0</v>
      </c>
      <c r="AF19" s="69">
        <f t="shared" si="7"/>
        <v>0</v>
      </c>
      <c r="AG19" s="69">
        <f t="shared" si="8"/>
        <v>0</v>
      </c>
      <c r="AH19" s="69">
        <f t="shared" si="9"/>
        <v>0</v>
      </c>
      <c r="AI19" s="69">
        <f t="shared" si="10"/>
        <v>0</v>
      </c>
      <c r="AJ19" s="69">
        <f t="shared" si="11"/>
        <v>0</v>
      </c>
      <c r="AK19" s="69">
        <f t="shared" ref="AK19:AS19" si="25">AJ19+G19-Q19</f>
        <v>0</v>
      </c>
      <c r="AL19" s="69">
        <f t="shared" si="25"/>
        <v>0</v>
      </c>
      <c r="AM19" s="69">
        <f t="shared" si="25"/>
        <v>0</v>
      </c>
      <c r="AN19" s="69">
        <f t="shared" si="25"/>
        <v>0</v>
      </c>
      <c r="AO19" s="69">
        <f t="shared" si="25"/>
        <v>0</v>
      </c>
      <c r="AP19" s="69">
        <f t="shared" si="25"/>
        <v>0</v>
      </c>
      <c r="AQ19" s="69">
        <f t="shared" si="25"/>
        <v>0</v>
      </c>
      <c r="AR19" s="69">
        <f t="shared" si="25"/>
        <v>0</v>
      </c>
      <c r="AS19" s="69">
        <f t="shared" si="25"/>
        <v>0</v>
      </c>
    </row>
    <row r="20" spans="1:45">
      <c r="A20" s="57" t="str">
        <f>'2. Investicijos'!A20</f>
        <v>16.</v>
      </c>
      <c r="B20" s="57">
        <f>'2. Investicijos'!B20</f>
        <v>0</v>
      </c>
      <c r="C20" s="69">
        <f>MAX(0,'2. Investicijos'!N20-'2. Investicijos'!H20*IF('2. Investicijos'!G20&lt;=35,30%,40%))</f>
        <v>0</v>
      </c>
      <c r="D20" s="70">
        <f>IF('2. Investicijos'!O20="",0,'2. Investicijos'!O20/100)</f>
        <v>0</v>
      </c>
      <c r="E20" s="71">
        <f>IF('2. Investicijos'!P20="",0,'2. Investicijos'!P20)</f>
        <v>0</v>
      </c>
      <c r="F20" s="69">
        <f>IFERROR('4. Metinis CAPEX'!F24/'2. Investicijos'!H20*$C20,0)</f>
        <v>0</v>
      </c>
      <c r="G20" s="69">
        <f>IFERROR('4. Metinis CAPEX'!G24/'2. Investicijos'!H20*$C20,0)</f>
        <v>0</v>
      </c>
      <c r="H20" s="69">
        <f>IFERROR('4. Metinis CAPEX'!H24/'2. Investicijos'!H20*$C20,0)</f>
        <v>0</v>
      </c>
      <c r="I20" s="69">
        <f>IFERROR('4. Metinis CAPEX'!I24/'2. Investicijos'!H20*$C20,0)</f>
        <v>0</v>
      </c>
      <c r="J20" s="69">
        <f>IFERROR('4. Metinis CAPEX'!J24/'2. Investicijos'!H20*$C20,0)</f>
        <v>0</v>
      </c>
      <c r="K20" s="69">
        <f>IFERROR('4. Metinis CAPEX'!K24/'2. Investicijos'!H20*$C20,0)</f>
        <v>0</v>
      </c>
      <c r="L20" s="69">
        <f>IFERROR('4. Metinis CAPEX'!L24/'2. Investicijos'!H20*$C20,0)</f>
        <v>0</v>
      </c>
      <c r="M20" s="69">
        <f>IFERROR('4. Metinis CAPEX'!M24/'2. Investicijos'!H20*$C20,0)</f>
        <v>0</v>
      </c>
      <c r="N20" s="69">
        <f>IFERROR('4. Metinis CAPEX'!N24/'2. Investicijos'!H20*$C20,0)</f>
        <v>0</v>
      </c>
      <c r="O20" s="69">
        <f>IFERROR('4. Metinis CAPEX'!O24/'2. Investicijos'!H20*$C20,0)</f>
        <v>0</v>
      </c>
      <c r="P20" s="69" cm="1">
        <f t="array" ref="P20">IF($E20=0,0,SUMPRODUCT(($F$4:$O$4&lt;F$4)*($F$4:$O$4&gt;=F$4-$E20)*($F20:$O20/$E20)))</f>
        <v>0</v>
      </c>
      <c r="Q20" s="69" cm="1">
        <f t="array" ref="Q20">IF($E20=0,0,SUMPRODUCT(($F$4:$O$4&lt;G$4)*($F$4:$O$4&gt;=G$4-$E20)*($F20:$O20/$E20)))</f>
        <v>0</v>
      </c>
      <c r="R20" s="69" cm="1">
        <f t="array" ref="R20">IF($E20=0,0,SUMPRODUCT(($F$4:$O$4&lt;H$4)*($F$4:$O$4&gt;=H$4-$E20)*($F20:$O20/$E20)))</f>
        <v>0</v>
      </c>
      <c r="S20" s="69" cm="1">
        <f t="array" ref="S20">IF($E20=0,0,SUMPRODUCT(($F$4:$O$4&lt;I$4)*($F$4:$O$4&gt;=I$4-$E20)*($F20:$O20/$E20)))</f>
        <v>0</v>
      </c>
      <c r="T20" s="69" cm="1">
        <f t="array" ref="T20">IF($E20=0,0,SUMPRODUCT(($F$4:$O$4&lt;J$4)*($F$4:$O$4&gt;=J$4-$E20)*($F20:$O20/$E20)))</f>
        <v>0</v>
      </c>
      <c r="U20" s="69" cm="1">
        <f t="array" ref="U20">IF($E20=0,0,SUMPRODUCT(($F$4:$O$4&lt;K$4)*($F$4:$O$4&gt;=K$4-$E20)*($F20:$O20/$E20)))</f>
        <v>0</v>
      </c>
      <c r="V20" s="69" cm="1">
        <f t="array" ref="V20">IF($E20=0,0,SUMPRODUCT(($F$4:$O$4&lt;L$4)*($F$4:$O$4&gt;=L$4-$E20)*($F20:$O20/$E20)))</f>
        <v>0</v>
      </c>
      <c r="W20" s="69" cm="1">
        <f t="array" ref="W20">IF($E20=0,0,SUMPRODUCT(($F$4:$O$4&lt;M$4)*($F$4:$O$4&gt;=M$4-$E20)*($F20:$O20/$E20)))</f>
        <v>0</v>
      </c>
      <c r="X20" s="69" cm="1">
        <f t="array" ref="X20">IF($E20=0,0,SUMPRODUCT(($F$4:$O$4&lt;N$4)*($F$4:$O$4&gt;=N$4-$E20)*($F20:$O20/$E20)))</f>
        <v>0</v>
      </c>
      <c r="Y20" s="69" cm="1">
        <f t="array" ref="Y20">IF($E20=0,0,SUMPRODUCT(($F$4:$O$4&lt;O$4)*($F$4:$O$4&gt;=O$4-$E20)*($F20:$O20/$E20)))</f>
        <v>0</v>
      </c>
      <c r="Z20" s="69">
        <f>0</f>
        <v>0</v>
      </c>
      <c r="AA20" s="69">
        <f t="shared" si="2"/>
        <v>0</v>
      </c>
      <c r="AB20" s="69">
        <f t="shared" si="3"/>
        <v>0</v>
      </c>
      <c r="AC20" s="69">
        <f t="shared" si="4"/>
        <v>0</v>
      </c>
      <c r="AD20" s="69">
        <f t="shared" si="5"/>
        <v>0</v>
      </c>
      <c r="AE20" s="69">
        <f t="shared" si="6"/>
        <v>0</v>
      </c>
      <c r="AF20" s="69">
        <f t="shared" si="7"/>
        <v>0</v>
      </c>
      <c r="AG20" s="69">
        <f t="shared" si="8"/>
        <v>0</v>
      </c>
      <c r="AH20" s="69">
        <f t="shared" si="9"/>
        <v>0</v>
      </c>
      <c r="AI20" s="69">
        <f t="shared" si="10"/>
        <v>0</v>
      </c>
      <c r="AJ20" s="69">
        <f t="shared" si="11"/>
        <v>0</v>
      </c>
      <c r="AK20" s="69">
        <f t="shared" ref="AK20:AS20" si="26">AJ20+G20-Q20</f>
        <v>0</v>
      </c>
      <c r="AL20" s="69">
        <f t="shared" si="26"/>
        <v>0</v>
      </c>
      <c r="AM20" s="69">
        <f t="shared" si="26"/>
        <v>0</v>
      </c>
      <c r="AN20" s="69">
        <f t="shared" si="26"/>
        <v>0</v>
      </c>
      <c r="AO20" s="69">
        <f t="shared" si="26"/>
        <v>0</v>
      </c>
      <c r="AP20" s="69">
        <f t="shared" si="26"/>
        <v>0</v>
      </c>
      <c r="AQ20" s="69">
        <f t="shared" si="26"/>
        <v>0</v>
      </c>
      <c r="AR20" s="69">
        <f t="shared" si="26"/>
        <v>0</v>
      </c>
      <c r="AS20" s="69">
        <f t="shared" si="26"/>
        <v>0</v>
      </c>
    </row>
    <row r="21" spans="1:45">
      <c r="A21" s="57" t="str">
        <f>'2. Investicijos'!A21</f>
        <v>17.</v>
      </c>
      <c r="B21" s="57">
        <f>'2. Investicijos'!B21</f>
        <v>0</v>
      </c>
      <c r="C21" s="69">
        <f>MAX(0,'2. Investicijos'!N21-'2. Investicijos'!H21*IF('2. Investicijos'!G21&lt;=35,30%,40%))</f>
        <v>0</v>
      </c>
      <c r="D21" s="70">
        <f>IF('2. Investicijos'!O21="",0,'2. Investicijos'!O21/100)</f>
        <v>0</v>
      </c>
      <c r="E21" s="71">
        <f>IF('2. Investicijos'!P21="",0,'2. Investicijos'!P21)</f>
        <v>0</v>
      </c>
      <c r="F21" s="69">
        <f>IFERROR('4. Metinis CAPEX'!F25/'2. Investicijos'!H21*$C21,0)</f>
        <v>0</v>
      </c>
      <c r="G21" s="69">
        <f>IFERROR('4. Metinis CAPEX'!G25/'2. Investicijos'!H21*$C21,0)</f>
        <v>0</v>
      </c>
      <c r="H21" s="69">
        <f>IFERROR('4. Metinis CAPEX'!H25/'2. Investicijos'!H21*$C21,0)</f>
        <v>0</v>
      </c>
      <c r="I21" s="69">
        <f>IFERROR('4. Metinis CAPEX'!I25/'2. Investicijos'!H21*$C21,0)</f>
        <v>0</v>
      </c>
      <c r="J21" s="69">
        <f>IFERROR('4. Metinis CAPEX'!J25/'2. Investicijos'!H21*$C21,0)</f>
        <v>0</v>
      </c>
      <c r="K21" s="69">
        <f>IFERROR('4. Metinis CAPEX'!K25/'2. Investicijos'!H21*$C21,0)</f>
        <v>0</v>
      </c>
      <c r="L21" s="69">
        <f>IFERROR('4. Metinis CAPEX'!L25/'2. Investicijos'!H21*$C21,0)</f>
        <v>0</v>
      </c>
      <c r="M21" s="69">
        <f>IFERROR('4. Metinis CAPEX'!M25/'2. Investicijos'!H21*$C21,0)</f>
        <v>0</v>
      </c>
      <c r="N21" s="69">
        <f>IFERROR('4. Metinis CAPEX'!N25/'2. Investicijos'!H21*$C21,0)</f>
        <v>0</v>
      </c>
      <c r="O21" s="69">
        <f>IFERROR('4. Metinis CAPEX'!O25/'2. Investicijos'!H21*$C21,0)</f>
        <v>0</v>
      </c>
      <c r="P21" s="69" cm="1">
        <f t="array" ref="P21">IF($E21=0,0,SUMPRODUCT(($F$4:$O$4&lt;F$4)*($F$4:$O$4&gt;=F$4-$E21)*($F21:$O21/$E21)))</f>
        <v>0</v>
      </c>
      <c r="Q21" s="69" cm="1">
        <f t="array" ref="Q21">IF($E21=0,0,SUMPRODUCT(($F$4:$O$4&lt;G$4)*($F$4:$O$4&gt;=G$4-$E21)*($F21:$O21/$E21)))</f>
        <v>0</v>
      </c>
      <c r="R21" s="69" cm="1">
        <f t="array" ref="R21">IF($E21=0,0,SUMPRODUCT(($F$4:$O$4&lt;H$4)*($F$4:$O$4&gt;=H$4-$E21)*($F21:$O21/$E21)))</f>
        <v>0</v>
      </c>
      <c r="S21" s="69" cm="1">
        <f t="array" ref="S21">IF($E21=0,0,SUMPRODUCT(($F$4:$O$4&lt;I$4)*($F$4:$O$4&gt;=I$4-$E21)*($F21:$O21/$E21)))</f>
        <v>0</v>
      </c>
      <c r="T21" s="69" cm="1">
        <f t="array" ref="T21">IF($E21=0,0,SUMPRODUCT(($F$4:$O$4&lt;J$4)*($F$4:$O$4&gt;=J$4-$E21)*($F21:$O21/$E21)))</f>
        <v>0</v>
      </c>
      <c r="U21" s="69" cm="1">
        <f t="array" ref="U21">IF($E21=0,0,SUMPRODUCT(($F$4:$O$4&lt;K$4)*($F$4:$O$4&gt;=K$4-$E21)*($F21:$O21/$E21)))</f>
        <v>0</v>
      </c>
      <c r="V21" s="69" cm="1">
        <f t="array" ref="V21">IF($E21=0,0,SUMPRODUCT(($F$4:$O$4&lt;L$4)*($F$4:$O$4&gt;=L$4-$E21)*($F21:$O21/$E21)))</f>
        <v>0</v>
      </c>
      <c r="W21" s="69" cm="1">
        <f t="array" ref="W21">IF($E21=0,0,SUMPRODUCT(($F$4:$O$4&lt;M$4)*($F$4:$O$4&gt;=M$4-$E21)*($F21:$O21/$E21)))</f>
        <v>0</v>
      </c>
      <c r="X21" s="69" cm="1">
        <f t="array" ref="X21">IF($E21=0,0,SUMPRODUCT(($F$4:$O$4&lt;N$4)*($F$4:$O$4&gt;=N$4-$E21)*($F21:$O21/$E21)))</f>
        <v>0</v>
      </c>
      <c r="Y21" s="69" cm="1">
        <f t="array" ref="Y21">IF($E21=0,0,SUMPRODUCT(($F$4:$O$4&lt;O$4)*($F$4:$O$4&gt;=O$4-$E21)*($F21:$O21/$E21)))</f>
        <v>0</v>
      </c>
      <c r="Z21" s="69">
        <f>0</f>
        <v>0</v>
      </c>
      <c r="AA21" s="69">
        <f t="shared" si="2"/>
        <v>0</v>
      </c>
      <c r="AB21" s="69">
        <f t="shared" si="3"/>
        <v>0</v>
      </c>
      <c r="AC21" s="69">
        <f t="shared" si="4"/>
        <v>0</v>
      </c>
      <c r="AD21" s="69">
        <f t="shared" si="5"/>
        <v>0</v>
      </c>
      <c r="AE21" s="69">
        <f t="shared" si="6"/>
        <v>0</v>
      </c>
      <c r="AF21" s="69">
        <f t="shared" si="7"/>
        <v>0</v>
      </c>
      <c r="AG21" s="69">
        <f t="shared" si="8"/>
        <v>0</v>
      </c>
      <c r="AH21" s="69">
        <f t="shared" si="9"/>
        <v>0</v>
      </c>
      <c r="AI21" s="69">
        <f t="shared" si="10"/>
        <v>0</v>
      </c>
      <c r="AJ21" s="69">
        <f t="shared" si="11"/>
        <v>0</v>
      </c>
      <c r="AK21" s="69">
        <f t="shared" ref="AK21:AS21" si="27">AJ21+G21-Q21</f>
        <v>0</v>
      </c>
      <c r="AL21" s="69">
        <f t="shared" si="27"/>
        <v>0</v>
      </c>
      <c r="AM21" s="69">
        <f t="shared" si="27"/>
        <v>0</v>
      </c>
      <c r="AN21" s="69">
        <f t="shared" si="27"/>
        <v>0</v>
      </c>
      <c r="AO21" s="69">
        <f t="shared" si="27"/>
        <v>0</v>
      </c>
      <c r="AP21" s="69">
        <f t="shared" si="27"/>
        <v>0</v>
      </c>
      <c r="AQ21" s="69">
        <f t="shared" si="27"/>
        <v>0</v>
      </c>
      <c r="AR21" s="69">
        <f t="shared" si="27"/>
        <v>0</v>
      </c>
      <c r="AS21" s="69">
        <f t="shared" si="27"/>
        <v>0</v>
      </c>
    </row>
    <row r="22" spans="1:45">
      <c r="A22" s="57" t="str">
        <f>'2. Investicijos'!A22</f>
        <v>18.</v>
      </c>
      <c r="B22" s="57">
        <f>'2. Investicijos'!B22</f>
        <v>0</v>
      </c>
      <c r="C22" s="69">
        <f>MAX(0,'2. Investicijos'!N22-'2. Investicijos'!H22*IF('2. Investicijos'!G22&lt;=35,30%,40%))</f>
        <v>0</v>
      </c>
      <c r="D22" s="70">
        <f>IF('2. Investicijos'!O22="",0,'2. Investicijos'!O22/100)</f>
        <v>0</v>
      </c>
      <c r="E22" s="71">
        <f>IF('2. Investicijos'!P22="",0,'2. Investicijos'!P22)</f>
        <v>0</v>
      </c>
      <c r="F22" s="69">
        <f>IFERROR('4. Metinis CAPEX'!F26/'2. Investicijos'!H22*$C22,0)</f>
        <v>0</v>
      </c>
      <c r="G22" s="69">
        <f>IFERROR('4. Metinis CAPEX'!G26/'2. Investicijos'!H22*$C22,0)</f>
        <v>0</v>
      </c>
      <c r="H22" s="69">
        <f>IFERROR('4. Metinis CAPEX'!H26/'2. Investicijos'!H22*$C22,0)</f>
        <v>0</v>
      </c>
      <c r="I22" s="69">
        <f>IFERROR('4. Metinis CAPEX'!I26/'2. Investicijos'!H22*$C22,0)</f>
        <v>0</v>
      </c>
      <c r="J22" s="69">
        <f>IFERROR('4. Metinis CAPEX'!J26/'2. Investicijos'!H22*$C22,0)</f>
        <v>0</v>
      </c>
      <c r="K22" s="69">
        <f>IFERROR('4. Metinis CAPEX'!K26/'2. Investicijos'!H22*$C22,0)</f>
        <v>0</v>
      </c>
      <c r="L22" s="69">
        <f>IFERROR('4. Metinis CAPEX'!L26/'2. Investicijos'!H22*$C22,0)</f>
        <v>0</v>
      </c>
      <c r="M22" s="69">
        <f>IFERROR('4. Metinis CAPEX'!M26/'2. Investicijos'!H22*$C22,0)</f>
        <v>0</v>
      </c>
      <c r="N22" s="69">
        <f>IFERROR('4. Metinis CAPEX'!N26/'2. Investicijos'!H22*$C22,0)</f>
        <v>0</v>
      </c>
      <c r="O22" s="69">
        <f>IFERROR('4. Metinis CAPEX'!O26/'2. Investicijos'!H22*$C22,0)</f>
        <v>0</v>
      </c>
      <c r="P22" s="69" cm="1">
        <f t="array" ref="P22">IF($E22=0,0,SUMPRODUCT(($F$4:$O$4&lt;F$4)*($F$4:$O$4&gt;=F$4-$E22)*($F22:$O22/$E22)))</f>
        <v>0</v>
      </c>
      <c r="Q22" s="69" cm="1">
        <f t="array" ref="Q22">IF($E22=0,0,SUMPRODUCT(($F$4:$O$4&lt;G$4)*($F$4:$O$4&gt;=G$4-$E22)*($F22:$O22/$E22)))</f>
        <v>0</v>
      </c>
      <c r="R22" s="69" cm="1">
        <f t="array" ref="R22">IF($E22=0,0,SUMPRODUCT(($F$4:$O$4&lt;H$4)*($F$4:$O$4&gt;=H$4-$E22)*($F22:$O22/$E22)))</f>
        <v>0</v>
      </c>
      <c r="S22" s="69" cm="1">
        <f t="array" ref="S22">IF($E22=0,0,SUMPRODUCT(($F$4:$O$4&lt;I$4)*($F$4:$O$4&gt;=I$4-$E22)*($F22:$O22/$E22)))</f>
        <v>0</v>
      </c>
      <c r="T22" s="69" cm="1">
        <f t="array" ref="T22">IF($E22=0,0,SUMPRODUCT(($F$4:$O$4&lt;J$4)*($F$4:$O$4&gt;=J$4-$E22)*($F22:$O22/$E22)))</f>
        <v>0</v>
      </c>
      <c r="U22" s="69" cm="1">
        <f t="array" ref="U22">IF($E22=0,0,SUMPRODUCT(($F$4:$O$4&lt;K$4)*($F$4:$O$4&gt;=K$4-$E22)*($F22:$O22/$E22)))</f>
        <v>0</v>
      </c>
      <c r="V22" s="69" cm="1">
        <f t="array" ref="V22">IF($E22=0,0,SUMPRODUCT(($F$4:$O$4&lt;L$4)*($F$4:$O$4&gt;=L$4-$E22)*($F22:$O22/$E22)))</f>
        <v>0</v>
      </c>
      <c r="W22" s="69" cm="1">
        <f t="array" ref="W22">IF($E22=0,0,SUMPRODUCT(($F$4:$O$4&lt;M$4)*($F$4:$O$4&gt;=M$4-$E22)*($F22:$O22/$E22)))</f>
        <v>0</v>
      </c>
      <c r="X22" s="69" cm="1">
        <f t="array" ref="X22">IF($E22=0,0,SUMPRODUCT(($F$4:$O$4&lt;N$4)*($F$4:$O$4&gt;=N$4-$E22)*($F22:$O22/$E22)))</f>
        <v>0</v>
      </c>
      <c r="Y22" s="69" cm="1">
        <f t="array" ref="Y22">IF($E22=0,0,SUMPRODUCT(($F$4:$O$4&lt;O$4)*($F$4:$O$4&gt;=O$4-$E22)*($F22:$O22/$E22)))</f>
        <v>0</v>
      </c>
      <c r="Z22" s="69">
        <f>0</f>
        <v>0</v>
      </c>
      <c r="AA22" s="69">
        <f t="shared" si="2"/>
        <v>0</v>
      </c>
      <c r="AB22" s="69">
        <f t="shared" si="3"/>
        <v>0</v>
      </c>
      <c r="AC22" s="69">
        <f t="shared" si="4"/>
        <v>0</v>
      </c>
      <c r="AD22" s="69">
        <f t="shared" si="5"/>
        <v>0</v>
      </c>
      <c r="AE22" s="69">
        <f t="shared" si="6"/>
        <v>0</v>
      </c>
      <c r="AF22" s="69">
        <f t="shared" si="7"/>
        <v>0</v>
      </c>
      <c r="AG22" s="69">
        <f t="shared" si="8"/>
        <v>0</v>
      </c>
      <c r="AH22" s="69">
        <f t="shared" si="9"/>
        <v>0</v>
      </c>
      <c r="AI22" s="69">
        <f t="shared" si="10"/>
        <v>0</v>
      </c>
      <c r="AJ22" s="69">
        <f t="shared" si="11"/>
        <v>0</v>
      </c>
      <c r="AK22" s="69">
        <f t="shared" ref="AK22:AS22" si="28">AJ22+G22-Q22</f>
        <v>0</v>
      </c>
      <c r="AL22" s="69">
        <f t="shared" si="28"/>
        <v>0</v>
      </c>
      <c r="AM22" s="69">
        <f t="shared" si="28"/>
        <v>0</v>
      </c>
      <c r="AN22" s="69">
        <f t="shared" si="28"/>
        <v>0</v>
      </c>
      <c r="AO22" s="69">
        <f t="shared" si="28"/>
        <v>0</v>
      </c>
      <c r="AP22" s="69">
        <f t="shared" si="28"/>
        <v>0</v>
      </c>
      <c r="AQ22" s="69">
        <f t="shared" si="28"/>
        <v>0</v>
      </c>
      <c r="AR22" s="69">
        <f t="shared" si="28"/>
        <v>0</v>
      </c>
      <c r="AS22" s="69">
        <f t="shared" si="28"/>
        <v>0</v>
      </c>
    </row>
    <row r="23" spans="1:45">
      <c r="A23" s="57" t="str">
        <f>'2. Investicijos'!A23</f>
        <v>19.</v>
      </c>
      <c r="B23" s="57">
        <f>'2. Investicijos'!B23</f>
        <v>0</v>
      </c>
      <c r="C23" s="69">
        <f>MAX(0,'2. Investicijos'!N23-'2. Investicijos'!H23*IF('2. Investicijos'!G23&lt;=35,30%,40%))</f>
        <v>0</v>
      </c>
      <c r="D23" s="70">
        <f>IF('2. Investicijos'!O23="",0,'2. Investicijos'!O23/100)</f>
        <v>0</v>
      </c>
      <c r="E23" s="71">
        <f>IF('2. Investicijos'!P23="",0,'2. Investicijos'!P23)</f>
        <v>0</v>
      </c>
      <c r="F23" s="69">
        <f>IFERROR('4. Metinis CAPEX'!F27/'2. Investicijos'!H23*$C23,0)</f>
        <v>0</v>
      </c>
      <c r="G23" s="69">
        <f>IFERROR('4. Metinis CAPEX'!G27/'2. Investicijos'!H23*$C23,0)</f>
        <v>0</v>
      </c>
      <c r="H23" s="69">
        <f>IFERROR('4. Metinis CAPEX'!H27/'2. Investicijos'!H23*$C23,0)</f>
        <v>0</v>
      </c>
      <c r="I23" s="69">
        <f>IFERROR('4. Metinis CAPEX'!I27/'2. Investicijos'!H23*$C23,0)</f>
        <v>0</v>
      </c>
      <c r="J23" s="69">
        <f>IFERROR('4. Metinis CAPEX'!J27/'2. Investicijos'!H23*$C23,0)</f>
        <v>0</v>
      </c>
      <c r="K23" s="69">
        <f>IFERROR('4. Metinis CAPEX'!K27/'2. Investicijos'!H23*$C23,0)</f>
        <v>0</v>
      </c>
      <c r="L23" s="69">
        <f>IFERROR('4. Metinis CAPEX'!L27/'2. Investicijos'!H23*$C23,0)</f>
        <v>0</v>
      </c>
      <c r="M23" s="69">
        <f>IFERROR('4. Metinis CAPEX'!M27/'2. Investicijos'!H23*$C23,0)</f>
        <v>0</v>
      </c>
      <c r="N23" s="69">
        <f>IFERROR('4. Metinis CAPEX'!N27/'2. Investicijos'!H23*$C23,0)</f>
        <v>0</v>
      </c>
      <c r="O23" s="69">
        <f>IFERROR('4. Metinis CAPEX'!O27/'2. Investicijos'!H23*$C23,0)</f>
        <v>0</v>
      </c>
      <c r="P23" s="69" cm="1">
        <f t="array" ref="P23">IF($E23=0,0,SUMPRODUCT(($F$4:$O$4&lt;F$4)*($F$4:$O$4&gt;=F$4-$E23)*($F23:$O23/$E23)))</f>
        <v>0</v>
      </c>
      <c r="Q23" s="69" cm="1">
        <f t="array" ref="Q23">IF($E23=0,0,SUMPRODUCT(($F$4:$O$4&lt;G$4)*($F$4:$O$4&gt;=G$4-$E23)*($F23:$O23/$E23)))</f>
        <v>0</v>
      </c>
      <c r="R23" s="69" cm="1">
        <f t="array" ref="R23">IF($E23=0,0,SUMPRODUCT(($F$4:$O$4&lt;H$4)*($F$4:$O$4&gt;=H$4-$E23)*($F23:$O23/$E23)))</f>
        <v>0</v>
      </c>
      <c r="S23" s="69" cm="1">
        <f t="array" ref="S23">IF($E23=0,0,SUMPRODUCT(($F$4:$O$4&lt;I$4)*($F$4:$O$4&gt;=I$4-$E23)*($F23:$O23/$E23)))</f>
        <v>0</v>
      </c>
      <c r="T23" s="69" cm="1">
        <f t="array" ref="T23">IF($E23=0,0,SUMPRODUCT(($F$4:$O$4&lt;J$4)*($F$4:$O$4&gt;=J$4-$E23)*($F23:$O23/$E23)))</f>
        <v>0</v>
      </c>
      <c r="U23" s="69" cm="1">
        <f t="array" ref="U23">IF($E23=0,0,SUMPRODUCT(($F$4:$O$4&lt;K$4)*($F$4:$O$4&gt;=K$4-$E23)*($F23:$O23/$E23)))</f>
        <v>0</v>
      </c>
      <c r="V23" s="69" cm="1">
        <f t="array" ref="V23">IF($E23=0,0,SUMPRODUCT(($F$4:$O$4&lt;L$4)*($F$4:$O$4&gt;=L$4-$E23)*($F23:$O23/$E23)))</f>
        <v>0</v>
      </c>
      <c r="W23" s="69" cm="1">
        <f t="array" ref="W23">IF($E23=0,0,SUMPRODUCT(($F$4:$O$4&lt;M$4)*($F$4:$O$4&gt;=M$4-$E23)*($F23:$O23/$E23)))</f>
        <v>0</v>
      </c>
      <c r="X23" s="69" cm="1">
        <f t="array" ref="X23">IF($E23=0,0,SUMPRODUCT(($F$4:$O$4&lt;N$4)*($F$4:$O$4&gt;=N$4-$E23)*($F23:$O23/$E23)))</f>
        <v>0</v>
      </c>
      <c r="Y23" s="69" cm="1">
        <f t="array" ref="Y23">IF($E23=0,0,SUMPRODUCT(($F$4:$O$4&lt;O$4)*($F$4:$O$4&gt;=O$4-$E23)*($F23:$O23/$E23)))</f>
        <v>0</v>
      </c>
      <c r="Z23" s="69">
        <f>0</f>
        <v>0</v>
      </c>
      <c r="AA23" s="69">
        <f t="shared" si="2"/>
        <v>0</v>
      </c>
      <c r="AB23" s="69">
        <f t="shared" si="3"/>
        <v>0</v>
      </c>
      <c r="AC23" s="69">
        <f t="shared" si="4"/>
        <v>0</v>
      </c>
      <c r="AD23" s="69">
        <f t="shared" si="5"/>
        <v>0</v>
      </c>
      <c r="AE23" s="69">
        <f t="shared" si="6"/>
        <v>0</v>
      </c>
      <c r="AF23" s="69">
        <f t="shared" si="7"/>
        <v>0</v>
      </c>
      <c r="AG23" s="69">
        <f t="shared" si="8"/>
        <v>0</v>
      </c>
      <c r="AH23" s="69">
        <f t="shared" si="9"/>
        <v>0</v>
      </c>
      <c r="AI23" s="69">
        <f t="shared" si="10"/>
        <v>0</v>
      </c>
      <c r="AJ23" s="69">
        <f t="shared" si="11"/>
        <v>0</v>
      </c>
      <c r="AK23" s="69">
        <f t="shared" ref="AK23:AS23" si="29">AJ23+G23-Q23</f>
        <v>0</v>
      </c>
      <c r="AL23" s="69">
        <f t="shared" si="29"/>
        <v>0</v>
      </c>
      <c r="AM23" s="69">
        <f t="shared" si="29"/>
        <v>0</v>
      </c>
      <c r="AN23" s="69">
        <f t="shared" si="29"/>
        <v>0</v>
      </c>
      <c r="AO23" s="69">
        <f t="shared" si="29"/>
        <v>0</v>
      </c>
      <c r="AP23" s="69">
        <f t="shared" si="29"/>
        <v>0</v>
      </c>
      <c r="AQ23" s="69">
        <f t="shared" si="29"/>
        <v>0</v>
      </c>
      <c r="AR23" s="69">
        <f t="shared" si="29"/>
        <v>0</v>
      </c>
      <c r="AS23" s="69">
        <f t="shared" si="29"/>
        <v>0</v>
      </c>
    </row>
    <row r="24" spans="1:45">
      <c r="A24" s="57" t="str">
        <f>'2. Investicijos'!A24</f>
        <v>20.</v>
      </c>
      <c r="B24" s="57">
        <f>'2. Investicijos'!B24</f>
        <v>0</v>
      </c>
      <c r="C24" s="69">
        <f>MAX(0,'2. Investicijos'!N24-'2. Investicijos'!H24*IF('2. Investicijos'!G24&lt;=35,30%,40%))</f>
        <v>0</v>
      </c>
      <c r="D24" s="70">
        <f>IF('2. Investicijos'!O24="",0,'2. Investicijos'!O24/100)</f>
        <v>0</v>
      </c>
      <c r="E24" s="71">
        <f>IF('2. Investicijos'!P24="",0,'2. Investicijos'!P24)</f>
        <v>0</v>
      </c>
      <c r="F24" s="69">
        <f>IFERROR('4. Metinis CAPEX'!F28/'2. Investicijos'!H24*$C24,0)</f>
        <v>0</v>
      </c>
      <c r="G24" s="69">
        <f>IFERROR('4. Metinis CAPEX'!G28/'2. Investicijos'!H24*$C24,0)</f>
        <v>0</v>
      </c>
      <c r="H24" s="69">
        <f>IFERROR('4. Metinis CAPEX'!H28/'2. Investicijos'!H24*$C24,0)</f>
        <v>0</v>
      </c>
      <c r="I24" s="69">
        <f>IFERROR('4. Metinis CAPEX'!I28/'2. Investicijos'!H24*$C24,0)</f>
        <v>0</v>
      </c>
      <c r="J24" s="69">
        <f>IFERROR('4. Metinis CAPEX'!J28/'2. Investicijos'!H24*$C24,0)</f>
        <v>0</v>
      </c>
      <c r="K24" s="69">
        <f>IFERROR('4. Metinis CAPEX'!K28/'2. Investicijos'!H24*$C24,0)</f>
        <v>0</v>
      </c>
      <c r="L24" s="69">
        <f>IFERROR('4. Metinis CAPEX'!L28/'2. Investicijos'!H24*$C24,0)</f>
        <v>0</v>
      </c>
      <c r="M24" s="69">
        <f>IFERROR('4. Metinis CAPEX'!M28/'2. Investicijos'!H24*$C24,0)</f>
        <v>0</v>
      </c>
      <c r="N24" s="69">
        <f>IFERROR('4. Metinis CAPEX'!N28/'2. Investicijos'!H24*$C24,0)</f>
        <v>0</v>
      </c>
      <c r="O24" s="69">
        <f>IFERROR('4. Metinis CAPEX'!O28/'2. Investicijos'!H24*$C24,0)</f>
        <v>0</v>
      </c>
      <c r="P24" s="69" cm="1">
        <f t="array" ref="P24">IF($E24=0,0,SUMPRODUCT(($F$4:$O$4&lt;F$4)*($F$4:$O$4&gt;=F$4-$E24)*($F24:$O24/$E24)))</f>
        <v>0</v>
      </c>
      <c r="Q24" s="69" cm="1">
        <f t="array" ref="Q24">IF($E24=0,0,SUMPRODUCT(($F$4:$O$4&lt;G$4)*($F$4:$O$4&gt;=G$4-$E24)*($F24:$O24/$E24)))</f>
        <v>0</v>
      </c>
      <c r="R24" s="69" cm="1">
        <f t="array" ref="R24">IF($E24=0,0,SUMPRODUCT(($F$4:$O$4&lt;H$4)*($F$4:$O$4&gt;=H$4-$E24)*($F24:$O24/$E24)))</f>
        <v>0</v>
      </c>
      <c r="S24" s="69" cm="1">
        <f t="array" ref="S24">IF($E24=0,0,SUMPRODUCT(($F$4:$O$4&lt;I$4)*($F$4:$O$4&gt;=I$4-$E24)*($F24:$O24/$E24)))</f>
        <v>0</v>
      </c>
      <c r="T24" s="69" cm="1">
        <f t="array" ref="T24">IF($E24=0,0,SUMPRODUCT(($F$4:$O$4&lt;J$4)*($F$4:$O$4&gt;=J$4-$E24)*($F24:$O24/$E24)))</f>
        <v>0</v>
      </c>
      <c r="U24" s="69" cm="1">
        <f t="array" ref="U24">IF($E24=0,0,SUMPRODUCT(($F$4:$O$4&lt;K$4)*($F$4:$O$4&gt;=K$4-$E24)*($F24:$O24/$E24)))</f>
        <v>0</v>
      </c>
      <c r="V24" s="69" cm="1">
        <f t="array" ref="V24">IF($E24=0,0,SUMPRODUCT(($F$4:$O$4&lt;L$4)*($F$4:$O$4&gt;=L$4-$E24)*($F24:$O24/$E24)))</f>
        <v>0</v>
      </c>
      <c r="W24" s="69" cm="1">
        <f t="array" ref="W24">IF($E24=0,0,SUMPRODUCT(($F$4:$O$4&lt;M$4)*($F$4:$O$4&gt;=M$4-$E24)*($F24:$O24/$E24)))</f>
        <v>0</v>
      </c>
      <c r="X24" s="69" cm="1">
        <f t="array" ref="X24">IF($E24=0,0,SUMPRODUCT(($F$4:$O$4&lt;N$4)*($F$4:$O$4&gt;=N$4-$E24)*($F24:$O24/$E24)))</f>
        <v>0</v>
      </c>
      <c r="Y24" s="69" cm="1">
        <f t="array" ref="Y24">IF($E24=0,0,SUMPRODUCT(($F$4:$O$4&lt;O$4)*($F$4:$O$4&gt;=O$4-$E24)*($F24:$O24/$E24)))</f>
        <v>0</v>
      </c>
      <c r="Z24" s="69">
        <f>0</f>
        <v>0</v>
      </c>
      <c r="AA24" s="69">
        <f t="shared" si="2"/>
        <v>0</v>
      </c>
      <c r="AB24" s="69">
        <f t="shared" si="3"/>
        <v>0</v>
      </c>
      <c r="AC24" s="69">
        <f t="shared" si="4"/>
        <v>0</v>
      </c>
      <c r="AD24" s="69">
        <f t="shared" si="5"/>
        <v>0</v>
      </c>
      <c r="AE24" s="69">
        <f t="shared" si="6"/>
        <v>0</v>
      </c>
      <c r="AF24" s="69">
        <f t="shared" si="7"/>
        <v>0</v>
      </c>
      <c r="AG24" s="69">
        <f t="shared" si="8"/>
        <v>0</v>
      </c>
      <c r="AH24" s="69">
        <f t="shared" si="9"/>
        <v>0</v>
      </c>
      <c r="AI24" s="69">
        <f t="shared" si="10"/>
        <v>0</v>
      </c>
      <c r="AJ24" s="69">
        <f t="shared" si="11"/>
        <v>0</v>
      </c>
      <c r="AK24" s="69">
        <f t="shared" ref="AK24:AS24" si="30">AJ24+G24-Q24</f>
        <v>0</v>
      </c>
      <c r="AL24" s="69">
        <f t="shared" si="30"/>
        <v>0</v>
      </c>
      <c r="AM24" s="69">
        <f t="shared" si="30"/>
        <v>0</v>
      </c>
      <c r="AN24" s="69">
        <f t="shared" si="30"/>
        <v>0</v>
      </c>
      <c r="AO24" s="69">
        <f t="shared" si="30"/>
        <v>0</v>
      </c>
      <c r="AP24" s="69">
        <f t="shared" si="30"/>
        <v>0</v>
      </c>
      <c r="AQ24" s="69">
        <f t="shared" si="30"/>
        <v>0</v>
      </c>
      <c r="AR24" s="69">
        <f t="shared" si="30"/>
        <v>0</v>
      </c>
      <c r="AS24" s="69">
        <f t="shared" si="30"/>
        <v>0</v>
      </c>
    </row>
    <row r="25" spans="1:45">
      <c r="A25" s="140" t="s">
        <v>125</v>
      </c>
      <c r="B25" s="140"/>
      <c r="C25" s="73">
        <f>SUM(C5:C24)</f>
        <v>0</v>
      </c>
      <c r="D25" s="63"/>
      <c r="E25" s="63"/>
      <c r="F25" s="73">
        <f t="shared" ref="F25:AS25" si="31">SUM(F5:F24)</f>
        <v>0</v>
      </c>
      <c r="G25" s="73">
        <f t="shared" si="31"/>
        <v>0</v>
      </c>
      <c r="H25" s="73">
        <f t="shared" si="31"/>
        <v>0</v>
      </c>
      <c r="I25" s="73">
        <f t="shared" si="31"/>
        <v>0</v>
      </c>
      <c r="J25" s="73">
        <f t="shared" si="31"/>
        <v>0</v>
      </c>
      <c r="K25" s="73">
        <f t="shared" si="31"/>
        <v>0</v>
      </c>
      <c r="L25" s="73">
        <f t="shared" si="31"/>
        <v>0</v>
      </c>
      <c r="M25" s="73">
        <f t="shared" si="31"/>
        <v>0</v>
      </c>
      <c r="N25" s="73">
        <f t="shared" si="31"/>
        <v>0</v>
      </c>
      <c r="O25" s="73">
        <f t="shared" si="31"/>
        <v>0</v>
      </c>
      <c r="P25" s="73">
        <f t="shared" si="31"/>
        <v>0</v>
      </c>
      <c r="Q25" s="73">
        <f t="shared" si="31"/>
        <v>0</v>
      </c>
      <c r="R25" s="73">
        <f t="shared" si="31"/>
        <v>0</v>
      </c>
      <c r="S25" s="73">
        <f t="shared" si="31"/>
        <v>0</v>
      </c>
      <c r="T25" s="73">
        <f t="shared" si="31"/>
        <v>0</v>
      </c>
      <c r="U25" s="73">
        <f t="shared" si="31"/>
        <v>0</v>
      </c>
      <c r="V25" s="73">
        <f t="shared" si="31"/>
        <v>0</v>
      </c>
      <c r="W25" s="73">
        <f t="shared" si="31"/>
        <v>0</v>
      </c>
      <c r="X25" s="73">
        <f t="shared" si="31"/>
        <v>0</v>
      </c>
      <c r="Y25" s="73">
        <f t="shared" si="31"/>
        <v>0</v>
      </c>
      <c r="Z25" s="73">
        <f t="shared" si="31"/>
        <v>0</v>
      </c>
      <c r="AA25" s="73">
        <f t="shared" si="31"/>
        <v>0</v>
      </c>
      <c r="AB25" s="73">
        <f t="shared" si="31"/>
        <v>0</v>
      </c>
      <c r="AC25" s="73">
        <f t="shared" si="31"/>
        <v>0</v>
      </c>
      <c r="AD25" s="73">
        <f t="shared" si="31"/>
        <v>0</v>
      </c>
      <c r="AE25" s="73">
        <f t="shared" si="31"/>
        <v>0</v>
      </c>
      <c r="AF25" s="73">
        <f t="shared" si="31"/>
        <v>0</v>
      </c>
      <c r="AG25" s="73">
        <f t="shared" si="31"/>
        <v>0</v>
      </c>
      <c r="AH25" s="73">
        <f t="shared" si="31"/>
        <v>0</v>
      </c>
      <c r="AI25" s="73">
        <f t="shared" si="31"/>
        <v>0</v>
      </c>
      <c r="AJ25" s="73">
        <f t="shared" si="31"/>
        <v>0</v>
      </c>
      <c r="AK25" s="73">
        <f t="shared" si="31"/>
        <v>0</v>
      </c>
      <c r="AL25" s="73">
        <f t="shared" si="31"/>
        <v>0</v>
      </c>
      <c r="AM25" s="73">
        <f t="shared" si="31"/>
        <v>0</v>
      </c>
      <c r="AN25" s="73">
        <f t="shared" si="31"/>
        <v>0</v>
      </c>
      <c r="AO25" s="73">
        <f t="shared" si="31"/>
        <v>0</v>
      </c>
      <c r="AP25" s="73">
        <f t="shared" si="31"/>
        <v>0</v>
      </c>
      <c r="AQ25" s="73">
        <f t="shared" si="31"/>
        <v>0</v>
      </c>
      <c r="AR25" s="73">
        <f t="shared" si="31"/>
        <v>0</v>
      </c>
      <c r="AS25" s="73">
        <f t="shared" si="31"/>
        <v>0</v>
      </c>
    </row>
    <row r="26" spans="1:45">
      <c r="A26" s="57"/>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row>
    <row r="27" spans="1:45">
      <c r="A27" s="57"/>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row>
    <row r="28" spans="1:45" ht="14.5">
      <c r="A28" s="122" t="s">
        <v>79</v>
      </c>
      <c r="B28" s="122"/>
      <c r="C28" s="122"/>
      <c r="D28" s="122"/>
      <c r="E28" s="122"/>
      <c r="F28" s="122"/>
      <c r="G28" s="122"/>
      <c r="H28" s="122"/>
      <c r="I28" s="122"/>
      <c r="J28" s="122"/>
      <c r="K28" s="122"/>
      <c r="L28" s="122"/>
      <c r="M28" s="122"/>
      <c r="N28" s="122"/>
      <c r="O28" s="122"/>
      <c r="P28" s="122"/>
      <c r="Q28" s="122"/>
      <c r="R28" s="122"/>
      <c r="S28" s="122"/>
      <c r="T28" s="122"/>
      <c r="U28" s="122"/>
      <c r="V28" s="122"/>
      <c r="W28" s="122"/>
      <c r="X28" s="122"/>
      <c r="Y28" s="122"/>
      <c r="Z28" s="57"/>
      <c r="AA28" s="57"/>
      <c r="AB28" s="57"/>
      <c r="AC28" s="57"/>
      <c r="AD28" s="57"/>
      <c r="AE28" s="57"/>
      <c r="AF28" s="57"/>
      <c r="AG28" s="57"/>
      <c r="AH28" s="57"/>
      <c r="AI28" s="57"/>
      <c r="AJ28" s="57"/>
      <c r="AK28" s="57"/>
      <c r="AL28" s="57"/>
      <c r="AM28" s="57"/>
      <c r="AN28" s="57"/>
      <c r="AO28" s="57"/>
      <c r="AP28" s="57"/>
      <c r="AQ28" s="57"/>
      <c r="AR28" s="57"/>
      <c r="AS28" s="57"/>
    </row>
    <row r="29" spans="1:45" ht="60">
      <c r="A29" s="64" t="s">
        <v>57</v>
      </c>
      <c r="B29" s="64" t="s">
        <v>82</v>
      </c>
      <c r="C29" s="64" t="s">
        <v>58</v>
      </c>
      <c r="D29" s="64" t="s">
        <v>83</v>
      </c>
      <c r="E29" s="64" t="s">
        <v>84</v>
      </c>
      <c r="F29" s="64" t="s">
        <v>85</v>
      </c>
      <c r="G29" s="64" t="s">
        <v>86</v>
      </c>
      <c r="H29" s="64" t="s">
        <v>87</v>
      </c>
      <c r="I29" s="64" t="s">
        <v>88</v>
      </c>
      <c r="J29" s="64" t="s">
        <v>89</v>
      </c>
      <c r="K29" s="64" t="s">
        <v>60</v>
      </c>
      <c r="L29" s="64" t="s">
        <v>90</v>
      </c>
      <c r="M29" s="64" t="s">
        <v>91</v>
      </c>
      <c r="N29" s="64" t="s">
        <v>159</v>
      </c>
      <c r="O29" s="64" t="s">
        <v>92</v>
      </c>
      <c r="P29" s="64" t="s">
        <v>93</v>
      </c>
      <c r="Q29" s="64" t="s">
        <v>94</v>
      </c>
      <c r="R29" s="64" t="s">
        <v>160</v>
      </c>
      <c r="S29" s="64" t="s">
        <v>155</v>
      </c>
      <c r="T29" s="64" t="s">
        <v>62</v>
      </c>
      <c r="U29" s="64" t="s">
        <v>95</v>
      </c>
      <c r="V29" s="64" t="s">
        <v>23</v>
      </c>
      <c r="W29" s="64" t="s">
        <v>24</v>
      </c>
      <c r="X29" s="64" t="s">
        <v>25</v>
      </c>
      <c r="Y29" s="64" t="s">
        <v>49</v>
      </c>
      <c r="Z29" s="57"/>
      <c r="AA29" s="57"/>
      <c r="AB29" s="57"/>
      <c r="AC29" s="57"/>
      <c r="AD29" s="57"/>
      <c r="AE29" s="57"/>
      <c r="AF29" s="57"/>
      <c r="AG29" s="57"/>
      <c r="AH29" s="57"/>
      <c r="AI29" s="57"/>
      <c r="AJ29" s="57"/>
      <c r="AK29" s="57"/>
      <c r="AL29" s="57"/>
      <c r="AM29" s="57"/>
      <c r="AN29" s="57"/>
      <c r="AO29" s="57"/>
      <c r="AP29" s="57"/>
      <c r="AQ29" s="57"/>
      <c r="AR29" s="57"/>
      <c r="AS29" s="57"/>
    </row>
    <row r="30" spans="1:45">
      <c r="A30" s="57">
        <v>0</v>
      </c>
      <c r="B30" s="57">
        <v>2026</v>
      </c>
      <c r="C30" s="62">
        <f>0</f>
        <v>0</v>
      </c>
      <c r="D30" s="62">
        <f>0</f>
        <v>0</v>
      </c>
      <c r="E30" s="62">
        <f>0</f>
        <v>0</v>
      </c>
      <c r="F30" s="62">
        <f>0</f>
        <v>0</v>
      </c>
      <c r="G30" s="62">
        <f>IF(AND(2026&gt;=2026,2026&lt;2026+'6. Aprašo scenarijus'!$C$4),0/'6. Aprašo scenarijus'!$C$4,0)</f>
        <v>0</v>
      </c>
      <c r="H30" s="62">
        <f t="shared" ref="H30:H39" si="32">D30-I30</f>
        <v>0</v>
      </c>
      <c r="I30" s="62">
        <f>0</f>
        <v>0</v>
      </c>
      <c r="J30" s="62">
        <f>0+0+0</f>
        <v>0</v>
      </c>
      <c r="K30" s="62">
        <f>0</f>
        <v>0</v>
      </c>
      <c r="L30" s="62">
        <f>0</f>
        <v>0</v>
      </c>
      <c r="M30" s="62">
        <f>0</f>
        <v>0</v>
      </c>
      <c r="N30" s="62">
        <f>'3. Finansinės prielaidos'!C30+M30</f>
        <v>0</v>
      </c>
      <c r="O30" s="62">
        <f>'3. Finansinės prielaidos'!C31</f>
        <v>0</v>
      </c>
      <c r="P30" s="62">
        <f>'3. Finansinės prielaidos'!C32</f>
        <v>0</v>
      </c>
      <c r="Q30" s="62">
        <f t="shared" ref="Q30:Q39" si="33">S30+G30+I30+E30-C30-J30</f>
        <v>0</v>
      </c>
      <c r="R30" s="62">
        <f>'3. Finansinės prielaidos'!C31+Q30</f>
        <v>0</v>
      </c>
      <c r="S30" s="62">
        <f>0</f>
        <v>0</v>
      </c>
      <c r="T30" s="62">
        <f>'3. Finansinės prielaidos'!C29+S30+G30</f>
        <v>0</v>
      </c>
      <c r="U30" s="62">
        <f t="shared" ref="U30:U39" si="34">N30-R30</f>
        <v>0</v>
      </c>
      <c r="V30" s="72" t="str">
        <f t="shared" ref="V30:V39" si="35">IF(OR(T30="",T30&lt;=0),"",U30/T30)</f>
        <v/>
      </c>
      <c r="W30" s="72" t="str">
        <f t="shared" ref="W30:W39" si="36">IF(T30&lt;=0,"",IF(P30+J30=0,999999,T30/(P30+J30)))</f>
        <v/>
      </c>
      <c r="X30" s="57" t="str">
        <f t="shared" ref="X30:X39" si="37">IF(OR(V30="",W30=""),"",IF(AND(V30&lt;=5.5,W30&gt;=1.2),"ATITINKA","NEATITINKA"))</f>
        <v/>
      </c>
      <c r="Y30" s="57" t="str">
        <f t="shared" ref="Y30:Y39" si="38">IF(X30&lt;&gt;"NEATITINKA","",IF(T30&lt;=0,"EBITDA ≤ 0",IF(AND(V30&gt;5.5,W30&lt;1.2),"Abu",IF(V30&gt;5.5,"Net Debt / EBITDA","DSCR"))))</f>
        <v/>
      </c>
      <c r="Z30" s="57"/>
      <c r="AA30" s="57"/>
      <c r="AB30" s="57"/>
      <c r="AC30" s="57"/>
      <c r="AD30" s="57"/>
      <c r="AE30" s="57"/>
      <c r="AF30" s="57"/>
      <c r="AG30" s="57"/>
      <c r="AH30" s="57"/>
      <c r="AI30" s="57"/>
      <c r="AJ30" s="57"/>
      <c r="AK30" s="57"/>
      <c r="AL30" s="57"/>
      <c r="AM30" s="57"/>
      <c r="AN30" s="57"/>
      <c r="AO30" s="57"/>
      <c r="AP30" s="57"/>
      <c r="AQ30" s="57"/>
      <c r="AR30" s="57"/>
      <c r="AS30" s="57"/>
    </row>
    <row r="31" spans="1:45">
      <c r="A31" s="57">
        <v>0</v>
      </c>
      <c r="B31" s="57">
        <v>2027</v>
      </c>
      <c r="C31" s="62">
        <f>0</f>
        <v>0</v>
      </c>
      <c r="D31" s="62">
        <f>0</f>
        <v>0</v>
      </c>
      <c r="E31" s="62">
        <f>0</f>
        <v>0</v>
      </c>
      <c r="F31" s="62">
        <f>0</f>
        <v>0</v>
      </c>
      <c r="G31" s="62">
        <f>IF(AND(2027&gt;=2026,2027&lt;2026+'6. Aprašo scenarijus'!$C$4),0/'6. Aprašo scenarijus'!$C$4,0)</f>
        <v>0</v>
      </c>
      <c r="H31" s="62">
        <f t="shared" si="32"/>
        <v>0</v>
      </c>
      <c r="I31" s="62">
        <f>0</f>
        <v>0</v>
      </c>
      <c r="J31" s="62">
        <f t="shared" ref="J31:J39" si="39">0+0+MAX(0,-R30)*0</f>
        <v>0</v>
      </c>
      <c r="K31" s="62">
        <f>0</f>
        <v>0</v>
      </c>
      <c r="L31" s="62">
        <f>0</f>
        <v>0</v>
      </c>
      <c r="M31" s="62">
        <f>0</f>
        <v>0</v>
      </c>
      <c r="N31" s="62">
        <f>'3. Finansinės prielaidos'!D30+M31</f>
        <v>0</v>
      </c>
      <c r="O31" s="62">
        <f>'3. Finansinės prielaidos'!D31</f>
        <v>0</v>
      </c>
      <c r="P31" s="62">
        <f>'3. Finansinės prielaidos'!D32</f>
        <v>0</v>
      </c>
      <c r="Q31" s="62">
        <f t="shared" si="33"/>
        <v>0</v>
      </c>
      <c r="R31" s="62">
        <f>R30+('3. Finansinės prielaidos'!D31-'3. Finansinės prielaidos'!C31)+Q31</f>
        <v>0</v>
      </c>
      <c r="S31" s="62">
        <f>0</f>
        <v>0</v>
      </c>
      <c r="T31" s="62">
        <f>'3. Finansinės prielaidos'!D29+S31+G31</f>
        <v>0</v>
      </c>
      <c r="U31" s="62">
        <f t="shared" si="34"/>
        <v>0</v>
      </c>
      <c r="V31" s="72" t="str">
        <f t="shared" si="35"/>
        <v/>
      </c>
      <c r="W31" s="72" t="str">
        <f t="shared" si="36"/>
        <v/>
      </c>
      <c r="X31" s="57" t="str">
        <f t="shared" si="37"/>
        <v/>
      </c>
      <c r="Y31" s="57" t="str">
        <f t="shared" si="38"/>
        <v/>
      </c>
      <c r="Z31" s="57"/>
      <c r="AA31" s="57"/>
      <c r="AB31" s="57"/>
      <c r="AC31" s="57"/>
      <c r="AD31" s="57"/>
      <c r="AE31" s="57"/>
      <c r="AF31" s="57"/>
      <c r="AG31" s="57"/>
      <c r="AH31" s="57"/>
      <c r="AI31" s="57"/>
      <c r="AJ31" s="57"/>
      <c r="AK31" s="57"/>
      <c r="AL31" s="57"/>
      <c r="AM31" s="57"/>
      <c r="AN31" s="57"/>
      <c r="AO31" s="57"/>
      <c r="AP31" s="57"/>
      <c r="AQ31" s="57"/>
      <c r="AR31" s="57"/>
      <c r="AS31" s="57"/>
    </row>
    <row r="32" spans="1:45">
      <c r="A32" s="57">
        <v>0</v>
      </c>
      <c r="B32" s="57">
        <v>2028</v>
      </c>
      <c r="C32" s="62">
        <f>0</f>
        <v>0</v>
      </c>
      <c r="D32" s="62">
        <f>0</f>
        <v>0</v>
      </c>
      <c r="E32" s="62">
        <f>0</f>
        <v>0</v>
      </c>
      <c r="F32" s="62">
        <f>0</f>
        <v>0</v>
      </c>
      <c r="G32" s="62">
        <f>IF(AND(2028&gt;=2026,2028&lt;2026+'6. Aprašo scenarijus'!$C$4),0/'6. Aprašo scenarijus'!$C$4,0)</f>
        <v>0</v>
      </c>
      <c r="H32" s="62">
        <f t="shared" si="32"/>
        <v>0</v>
      </c>
      <c r="I32" s="62">
        <f>0</f>
        <v>0</v>
      </c>
      <c r="J32" s="62">
        <f t="shared" si="39"/>
        <v>0</v>
      </c>
      <c r="K32" s="62">
        <f>0</f>
        <v>0</v>
      </c>
      <c r="L32" s="62">
        <f>0</f>
        <v>0</v>
      </c>
      <c r="M32" s="62">
        <f>0</f>
        <v>0</v>
      </c>
      <c r="N32" s="62">
        <f>'3. Finansinės prielaidos'!E30+M32</f>
        <v>0</v>
      </c>
      <c r="O32" s="62">
        <f>'3. Finansinės prielaidos'!E31</f>
        <v>0</v>
      </c>
      <c r="P32" s="62">
        <f>'3. Finansinės prielaidos'!E32</f>
        <v>0</v>
      </c>
      <c r="Q32" s="62">
        <f t="shared" si="33"/>
        <v>0</v>
      </c>
      <c r="R32" s="62">
        <f>R31+('3. Finansinės prielaidos'!E31-'3. Finansinės prielaidos'!D31)+Q32</f>
        <v>0</v>
      </c>
      <c r="S32" s="62">
        <f>0</f>
        <v>0</v>
      </c>
      <c r="T32" s="62">
        <f>'3. Finansinės prielaidos'!E29+S32+G32</f>
        <v>0</v>
      </c>
      <c r="U32" s="62">
        <f t="shared" si="34"/>
        <v>0</v>
      </c>
      <c r="V32" s="72" t="str">
        <f t="shared" si="35"/>
        <v/>
      </c>
      <c r="W32" s="72" t="str">
        <f t="shared" si="36"/>
        <v/>
      </c>
      <c r="X32" s="57" t="str">
        <f t="shared" si="37"/>
        <v/>
      </c>
      <c r="Y32" s="57" t="str">
        <f t="shared" si="38"/>
        <v/>
      </c>
      <c r="Z32" s="57"/>
      <c r="AA32" s="57"/>
      <c r="AB32" s="57"/>
      <c r="AC32" s="57"/>
      <c r="AD32" s="57"/>
      <c r="AE32" s="57"/>
      <c r="AF32" s="57"/>
      <c r="AG32" s="57"/>
      <c r="AH32" s="57"/>
      <c r="AI32" s="57"/>
      <c r="AJ32" s="57"/>
      <c r="AK32" s="57"/>
      <c r="AL32" s="57"/>
      <c r="AM32" s="57"/>
      <c r="AN32" s="57"/>
      <c r="AO32" s="57"/>
      <c r="AP32" s="57"/>
      <c r="AQ32" s="57"/>
      <c r="AR32" s="57"/>
      <c r="AS32" s="57"/>
    </row>
    <row r="33" spans="1:45">
      <c r="A33" s="57">
        <v>0</v>
      </c>
      <c r="B33" s="57">
        <v>2029</v>
      </c>
      <c r="C33" s="62">
        <f>0</f>
        <v>0</v>
      </c>
      <c r="D33" s="62">
        <f>0</f>
        <v>0</v>
      </c>
      <c r="E33" s="62">
        <f>0</f>
        <v>0</v>
      </c>
      <c r="F33" s="62">
        <f>0</f>
        <v>0</v>
      </c>
      <c r="G33" s="62">
        <f>IF(AND(2029&gt;=2026,2029&lt;2026+'6. Aprašo scenarijus'!$C$4),0/'6. Aprašo scenarijus'!$C$4,0)</f>
        <v>0</v>
      </c>
      <c r="H33" s="62">
        <f t="shared" si="32"/>
        <v>0</v>
      </c>
      <c r="I33" s="62">
        <f>0</f>
        <v>0</v>
      </c>
      <c r="J33" s="62">
        <f t="shared" si="39"/>
        <v>0</v>
      </c>
      <c r="K33" s="62">
        <f>0</f>
        <v>0</v>
      </c>
      <c r="L33" s="62">
        <f>0</f>
        <v>0</v>
      </c>
      <c r="M33" s="62">
        <f>0</f>
        <v>0</v>
      </c>
      <c r="N33" s="62">
        <f>'3. Finansinės prielaidos'!F30+M33</f>
        <v>0</v>
      </c>
      <c r="O33" s="62">
        <f>'3. Finansinės prielaidos'!F31</f>
        <v>0</v>
      </c>
      <c r="P33" s="62">
        <f>'3. Finansinės prielaidos'!F32</f>
        <v>0</v>
      </c>
      <c r="Q33" s="62">
        <f t="shared" si="33"/>
        <v>0</v>
      </c>
      <c r="R33" s="62">
        <f>R32+('3. Finansinės prielaidos'!F31-'3. Finansinės prielaidos'!E31)+Q33</f>
        <v>0</v>
      </c>
      <c r="S33" s="62">
        <f>0</f>
        <v>0</v>
      </c>
      <c r="T33" s="62">
        <f>'3. Finansinės prielaidos'!F29+S33+G33</f>
        <v>0</v>
      </c>
      <c r="U33" s="62">
        <f t="shared" si="34"/>
        <v>0</v>
      </c>
      <c r="V33" s="72" t="str">
        <f t="shared" si="35"/>
        <v/>
      </c>
      <c r="W33" s="72" t="str">
        <f t="shared" si="36"/>
        <v/>
      </c>
      <c r="X33" s="57" t="str">
        <f t="shared" si="37"/>
        <v/>
      </c>
      <c r="Y33" s="57" t="str">
        <f t="shared" si="38"/>
        <v/>
      </c>
      <c r="Z33" s="57"/>
      <c r="AA33" s="57"/>
      <c r="AB33" s="57"/>
      <c r="AC33" s="57"/>
      <c r="AD33" s="57"/>
      <c r="AE33" s="57"/>
      <c r="AF33" s="57"/>
      <c r="AG33" s="57"/>
      <c r="AH33" s="57"/>
      <c r="AI33" s="57"/>
      <c r="AJ33" s="57"/>
      <c r="AK33" s="57"/>
      <c r="AL33" s="57"/>
      <c r="AM33" s="57"/>
      <c r="AN33" s="57"/>
      <c r="AO33" s="57"/>
      <c r="AP33" s="57"/>
      <c r="AQ33" s="57"/>
      <c r="AR33" s="57"/>
      <c r="AS33" s="57"/>
    </row>
    <row r="34" spans="1:45">
      <c r="A34" s="57">
        <v>0</v>
      </c>
      <c r="B34" s="57">
        <v>2030</v>
      </c>
      <c r="C34" s="62">
        <f>0</f>
        <v>0</v>
      </c>
      <c r="D34" s="62">
        <f>0</f>
        <v>0</v>
      </c>
      <c r="E34" s="62">
        <f>0</f>
        <v>0</v>
      </c>
      <c r="F34" s="62">
        <f>0</f>
        <v>0</v>
      </c>
      <c r="G34" s="62">
        <f>IF(AND(2030&gt;=2026,2030&lt;2026+'6. Aprašo scenarijus'!$C$4),0/'6. Aprašo scenarijus'!$C$4,0)</f>
        <v>0</v>
      </c>
      <c r="H34" s="62">
        <f t="shared" si="32"/>
        <v>0</v>
      </c>
      <c r="I34" s="62">
        <f>0</f>
        <v>0</v>
      </c>
      <c r="J34" s="62">
        <f t="shared" si="39"/>
        <v>0</v>
      </c>
      <c r="K34" s="62">
        <f>0</f>
        <v>0</v>
      </c>
      <c r="L34" s="62">
        <f>0</f>
        <v>0</v>
      </c>
      <c r="M34" s="62">
        <f>0</f>
        <v>0</v>
      </c>
      <c r="N34" s="62">
        <f>'3. Finansinės prielaidos'!G30+M34</f>
        <v>0</v>
      </c>
      <c r="O34" s="62">
        <f>'3. Finansinės prielaidos'!G31</f>
        <v>0</v>
      </c>
      <c r="P34" s="62">
        <f>'3. Finansinės prielaidos'!G32</f>
        <v>0</v>
      </c>
      <c r="Q34" s="62">
        <f t="shared" si="33"/>
        <v>0</v>
      </c>
      <c r="R34" s="62">
        <f>R33+('3. Finansinės prielaidos'!G31-'3. Finansinės prielaidos'!F31)+Q34</f>
        <v>0</v>
      </c>
      <c r="S34" s="62">
        <f>0</f>
        <v>0</v>
      </c>
      <c r="T34" s="62">
        <f>'3. Finansinės prielaidos'!G29+S34+G34</f>
        <v>0</v>
      </c>
      <c r="U34" s="62">
        <f t="shared" si="34"/>
        <v>0</v>
      </c>
      <c r="V34" s="72" t="str">
        <f t="shared" si="35"/>
        <v/>
      </c>
      <c r="W34" s="72" t="str">
        <f t="shared" si="36"/>
        <v/>
      </c>
      <c r="X34" s="57" t="str">
        <f t="shared" si="37"/>
        <v/>
      </c>
      <c r="Y34" s="57" t="str">
        <f t="shared" si="38"/>
        <v/>
      </c>
      <c r="Z34" s="57"/>
      <c r="AA34" s="57"/>
      <c r="AB34" s="57"/>
      <c r="AC34" s="57"/>
      <c r="AD34" s="57"/>
      <c r="AE34" s="57"/>
      <c r="AF34" s="57"/>
      <c r="AG34" s="57"/>
      <c r="AH34" s="57"/>
      <c r="AI34" s="57"/>
      <c r="AJ34" s="57"/>
      <c r="AK34" s="57"/>
      <c r="AL34" s="57"/>
      <c r="AM34" s="57"/>
      <c r="AN34" s="57"/>
      <c r="AO34" s="57"/>
      <c r="AP34" s="57"/>
      <c r="AQ34" s="57"/>
      <c r="AR34" s="57"/>
      <c r="AS34" s="57"/>
    </row>
    <row r="35" spans="1:45">
      <c r="A35" s="57">
        <v>0</v>
      </c>
      <c r="B35" s="57">
        <v>2031</v>
      </c>
      <c r="C35" s="62">
        <f>0</f>
        <v>0</v>
      </c>
      <c r="D35" s="62">
        <f>0</f>
        <v>0</v>
      </c>
      <c r="E35" s="62">
        <f>0</f>
        <v>0</v>
      </c>
      <c r="F35" s="62">
        <f>0</f>
        <v>0</v>
      </c>
      <c r="G35" s="62">
        <f>IF(AND(2031&gt;=2026,2031&lt;2026+'6. Aprašo scenarijus'!$C$4),0/'6. Aprašo scenarijus'!$C$4,0)</f>
        <v>0</v>
      </c>
      <c r="H35" s="62">
        <f t="shared" si="32"/>
        <v>0</v>
      </c>
      <c r="I35" s="62">
        <f>0</f>
        <v>0</v>
      </c>
      <c r="J35" s="62">
        <f t="shared" si="39"/>
        <v>0</v>
      </c>
      <c r="K35" s="62">
        <f>0</f>
        <v>0</v>
      </c>
      <c r="L35" s="62">
        <f>0</f>
        <v>0</v>
      </c>
      <c r="M35" s="62">
        <f>0</f>
        <v>0</v>
      </c>
      <c r="N35" s="62">
        <f>'3. Finansinės prielaidos'!H30+M35</f>
        <v>0</v>
      </c>
      <c r="O35" s="62">
        <f>'3. Finansinės prielaidos'!H31</f>
        <v>0</v>
      </c>
      <c r="P35" s="62">
        <f>'3. Finansinės prielaidos'!H32</f>
        <v>0</v>
      </c>
      <c r="Q35" s="62">
        <f t="shared" si="33"/>
        <v>0</v>
      </c>
      <c r="R35" s="62">
        <f>R34+('3. Finansinės prielaidos'!H31-'3. Finansinės prielaidos'!G31)+Q35</f>
        <v>0</v>
      </c>
      <c r="S35" s="62">
        <f>0</f>
        <v>0</v>
      </c>
      <c r="T35" s="62">
        <f>'3. Finansinės prielaidos'!H29+S35+G35</f>
        <v>0</v>
      </c>
      <c r="U35" s="62">
        <f t="shared" si="34"/>
        <v>0</v>
      </c>
      <c r="V35" s="72" t="str">
        <f t="shared" si="35"/>
        <v/>
      </c>
      <c r="W35" s="72" t="str">
        <f t="shared" si="36"/>
        <v/>
      </c>
      <c r="X35" s="57" t="str">
        <f t="shared" si="37"/>
        <v/>
      </c>
      <c r="Y35" s="57" t="str">
        <f t="shared" si="38"/>
        <v/>
      </c>
      <c r="Z35" s="57"/>
      <c r="AA35" s="57"/>
      <c r="AB35" s="57"/>
      <c r="AC35" s="57"/>
      <c r="AD35" s="57"/>
      <c r="AE35" s="57"/>
      <c r="AF35" s="57"/>
      <c r="AG35" s="57"/>
      <c r="AH35" s="57"/>
      <c r="AI35" s="57"/>
      <c r="AJ35" s="57"/>
      <c r="AK35" s="57"/>
      <c r="AL35" s="57"/>
      <c r="AM35" s="57"/>
      <c r="AN35" s="57"/>
      <c r="AO35" s="57"/>
      <c r="AP35" s="57"/>
      <c r="AQ35" s="57"/>
      <c r="AR35" s="57"/>
      <c r="AS35" s="57"/>
    </row>
    <row r="36" spans="1:45">
      <c r="A36" s="57">
        <v>0</v>
      </c>
      <c r="B36" s="57">
        <v>2032</v>
      </c>
      <c r="C36" s="62">
        <f>0</f>
        <v>0</v>
      </c>
      <c r="D36" s="62">
        <f>0</f>
        <v>0</v>
      </c>
      <c r="E36" s="62">
        <f>0</f>
        <v>0</v>
      </c>
      <c r="F36" s="62">
        <f>0</f>
        <v>0</v>
      </c>
      <c r="G36" s="62">
        <f>IF(AND(2032&gt;=2026,2032&lt;2026+'6. Aprašo scenarijus'!$C$4),0/'6. Aprašo scenarijus'!$C$4,0)</f>
        <v>0</v>
      </c>
      <c r="H36" s="62">
        <f t="shared" si="32"/>
        <v>0</v>
      </c>
      <c r="I36" s="62">
        <f>0</f>
        <v>0</v>
      </c>
      <c r="J36" s="62">
        <f t="shared" si="39"/>
        <v>0</v>
      </c>
      <c r="K36" s="62">
        <f>0</f>
        <v>0</v>
      </c>
      <c r="L36" s="62">
        <f>0</f>
        <v>0</v>
      </c>
      <c r="M36" s="62">
        <f>0</f>
        <v>0</v>
      </c>
      <c r="N36" s="62">
        <f>'3. Finansinės prielaidos'!I30+M36</f>
        <v>0</v>
      </c>
      <c r="O36" s="62">
        <f>'3. Finansinės prielaidos'!I31</f>
        <v>0</v>
      </c>
      <c r="P36" s="62">
        <f>'3. Finansinės prielaidos'!I32</f>
        <v>0</v>
      </c>
      <c r="Q36" s="62">
        <f t="shared" si="33"/>
        <v>0</v>
      </c>
      <c r="R36" s="62">
        <f>R35+('3. Finansinės prielaidos'!I31-'3. Finansinės prielaidos'!H31)+Q36</f>
        <v>0</v>
      </c>
      <c r="S36" s="62">
        <f>0</f>
        <v>0</v>
      </c>
      <c r="T36" s="62">
        <f>'3. Finansinės prielaidos'!I29+S36+G36</f>
        <v>0</v>
      </c>
      <c r="U36" s="62">
        <f t="shared" si="34"/>
        <v>0</v>
      </c>
      <c r="V36" s="72" t="str">
        <f t="shared" si="35"/>
        <v/>
      </c>
      <c r="W36" s="72" t="str">
        <f t="shared" si="36"/>
        <v/>
      </c>
      <c r="X36" s="57" t="str">
        <f t="shared" si="37"/>
        <v/>
      </c>
      <c r="Y36" s="57" t="str">
        <f t="shared" si="38"/>
        <v/>
      </c>
      <c r="Z36" s="57"/>
      <c r="AA36" s="57"/>
      <c r="AB36" s="57"/>
      <c r="AC36" s="57"/>
      <c r="AD36" s="57"/>
      <c r="AE36" s="57"/>
      <c r="AF36" s="57"/>
      <c r="AG36" s="57"/>
      <c r="AH36" s="57"/>
      <c r="AI36" s="57"/>
      <c r="AJ36" s="57"/>
      <c r="AK36" s="57"/>
      <c r="AL36" s="57"/>
      <c r="AM36" s="57"/>
      <c r="AN36" s="57"/>
      <c r="AO36" s="57"/>
      <c r="AP36" s="57"/>
      <c r="AQ36" s="57"/>
      <c r="AR36" s="57"/>
      <c r="AS36" s="57"/>
    </row>
    <row r="37" spans="1:45">
      <c r="A37" s="57">
        <v>0</v>
      </c>
      <c r="B37" s="57">
        <v>2033</v>
      </c>
      <c r="C37" s="62">
        <f>0</f>
        <v>0</v>
      </c>
      <c r="D37" s="62">
        <f>0</f>
        <v>0</v>
      </c>
      <c r="E37" s="62">
        <f>0</f>
        <v>0</v>
      </c>
      <c r="F37" s="62">
        <f>0</f>
        <v>0</v>
      </c>
      <c r="G37" s="62">
        <f>IF(AND(2033&gt;=2026,2033&lt;2026+'6. Aprašo scenarijus'!$C$4),0/'6. Aprašo scenarijus'!$C$4,0)</f>
        <v>0</v>
      </c>
      <c r="H37" s="62">
        <f t="shared" si="32"/>
        <v>0</v>
      </c>
      <c r="I37" s="62">
        <f>0</f>
        <v>0</v>
      </c>
      <c r="J37" s="62">
        <f t="shared" si="39"/>
        <v>0</v>
      </c>
      <c r="K37" s="62">
        <f>0</f>
        <v>0</v>
      </c>
      <c r="L37" s="62">
        <f>0</f>
        <v>0</v>
      </c>
      <c r="M37" s="62">
        <f>0</f>
        <v>0</v>
      </c>
      <c r="N37" s="62">
        <f>'3. Finansinės prielaidos'!J30+M37</f>
        <v>0</v>
      </c>
      <c r="O37" s="62">
        <f>'3. Finansinės prielaidos'!J31</f>
        <v>0</v>
      </c>
      <c r="P37" s="62">
        <f>'3. Finansinės prielaidos'!J32</f>
        <v>0</v>
      </c>
      <c r="Q37" s="62">
        <f t="shared" si="33"/>
        <v>0</v>
      </c>
      <c r="R37" s="62">
        <f>R36+('3. Finansinės prielaidos'!J31-'3. Finansinės prielaidos'!I31)+Q37</f>
        <v>0</v>
      </c>
      <c r="S37" s="62">
        <f>0</f>
        <v>0</v>
      </c>
      <c r="T37" s="62">
        <f>'3. Finansinės prielaidos'!J29+S37+G37</f>
        <v>0</v>
      </c>
      <c r="U37" s="62">
        <f t="shared" si="34"/>
        <v>0</v>
      </c>
      <c r="V37" s="72" t="str">
        <f t="shared" si="35"/>
        <v/>
      </c>
      <c r="W37" s="72" t="str">
        <f t="shared" si="36"/>
        <v/>
      </c>
      <c r="X37" s="57" t="str">
        <f t="shared" si="37"/>
        <v/>
      </c>
      <c r="Y37" s="57" t="str">
        <f t="shared" si="38"/>
        <v/>
      </c>
      <c r="Z37" s="57"/>
      <c r="AA37" s="57"/>
      <c r="AB37" s="57"/>
      <c r="AC37" s="57"/>
      <c r="AD37" s="57"/>
      <c r="AE37" s="57"/>
      <c r="AF37" s="57"/>
      <c r="AG37" s="57"/>
      <c r="AH37" s="57"/>
      <c r="AI37" s="57"/>
      <c r="AJ37" s="57"/>
      <c r="AK37" s="57"/>
      <c r="AL37" s="57"/>
      <c r="AM37" s="57"/>
      <c r="AN37" s="57"/>
      <c r="AO37" s="57"/>
      <c r="AP37" s="57"/>
      <c r="AQ37" s="57"/>
      <c r="AR37" s="57"/>
      <c r="AS37" s="57"/>
    </row>
    <row r="38" spans="1:45">
      <c r="A38" s="57">
        <v>0</v>
      </c>
      <c r="B38" s="57">
        <v>2034</v>
      </c>
      <c r="C38" s="62">
        <f>0</f>
        <v>0</v>
      </c>
      <c r="D38" s="62">
        <f>0</f>
        <v>0</v>
      </c>
      <c r="E38" s="62">
        <f>0</f>
        <v>0</v>
      </c>
      <c r="F38" s="62">
        <f>0</f>
        <v>0</v>
      </c>
      <c r="G38" s="62">
        <f>IF(AND(2034&gt;=2026,2034&lt;2026+'6. Aprašo scenarijus'!$C$4),0/'6. Aprašo scenarijus'!$C$4,0)</f>
        <v>0</v>
      </c>
      <c r="H38" s="62">
        <f t="shared" si="32"/>
        <v>0</v>
      </c>
      <c r="I38" s="62">
        <f>0</f>
        <v>0</v>
      </c>
      <c r="J38" s="62">
        <f t="shared" si="39"/>
        <v>0</v>
      </c>
      <c r="K38" s="62">
        <f>0</f>
        <v>0</v>
      </c>
      <c r="L38" s="62">
        <f>0</f>
        <v>0</v>
      </c>
      <c r="M38" s="62">
        <f>0</f>
        <v>0</v>
      </c>
      <c r="N38" s="62">
        <f>'3. Finansinės prielaidos'!K30+M38</f>
        <v>0</v>
      </c>
      <c r="O38" s="62">
        <f>'3. Finansinės prielaidos'!K31</f>
        <v>0</v>
      </c>
      <c r="P38" s="62">
        <f>'3. Finansinės prielaidos'!K32</f>
        <v>0</v>
      </c>
      <c r="Q38" s="62">
        <f t="shared" si="33"/>
        <v>0</v>
      </c>
      <c r="R38" s="62">
        <f>R37+('3. Finansinės prielaidos'!K31-'3. Finansinės prielaidos'!J31)+Q38</f>
        <v>0</v>
      </c>
      <c r="S38" s="62">
        <f>0</f>
        <v>0</v>
      </c>
      <c r="T38" s="62">
        <f>'3. Finansinės prielaidos'!K29+S38+G38</f>
        <v>0</v>
      </c>
      <c r="U38" s="62">
        <f t="shared" si="34"/>
        <v>0</v>
      </c>
      <c r="V38" s="72" t="str">
        <f t="shared" si="35"/>
        <v/>
      </c>
      <c r="W38" s="72" t="str">
        <f t="shared" si="36"/>
        <v/>
      </c>
      <c r="X38" s="57" t="str">
        <f t="shared" si="37"/>
        <v/>
      </c>
      <c r="Y38" s="57" t="str">
        <f t="shared" si="38"/>
        <v/>
      </c>
      <c r="Z38" s="57"/>
      <c r="AA38" s="57"/>
      <c r="AB38" s="57"/>
      <c r="AC38" s="57"/>
      <c r="AD38" s="57"/>
      <c r="AE38" s="57"/>
      <c r="AF38" s="57"/>
      <c r="AG38" s="57"/>
      <c r="AH38" s="57"/>
      <c r="AI38" s="57"/>
      <c r="AJ38" s="57"/>
      <c r="AK38" s="57"/>
      <c r="AL38" s="57"/>
      <c r="AM38" s="57"/>
      <c r="AN38" s="57"/>
      <c r="AO38" s="57"/>
      <c r="AP38" s="57"/>
      <c r="AQ38" s="57"/>
      <c r="AR38" s="57"/>
      <c r="AS38" s="57"/>
    </row>
    <row r="39" spans="1:45">
      <c r="A39" s="57">
        <v>0</v>
      </c>
      <c r="B39" s="57">
        <v>2035</v>
      </c>
      <c r="C39" s="62">
        <f>0</f>
        <v>0</v>
      </c>
      <c r="D39" s="62">
        <f>0</f>
        <v>0</v>
      </c>
      <c r="E39" s="62">
        <f>0</f>
        <v>0</v>
      </c>
      <c r="F39" s="62">
        <f>0</f>
        <v>0</v>
      </c>
      <c r="G39" s="62">
        <f>IF(AND(2035&gt;=2026,2035&lt;2026+'6. Aprašo scenarijus'!$C$4),0/'6. Aprašo scenarijus'!$C$4,0)</f>
        <v>0</v>
      </c>
      <c r="H39" s="62">
        <f t="shared" si="32"/>
        <v>0</v>
      </c>
      <c r="I39" s="62">
        <f>0</f>
        <v>0</v>
      </c>
      <c r="J39" s="62">
        <f t="shared" si="39"/>
        <v>0</v>
      </c>
      <c r="K39" s="62">
        <f>0</f>
        <v>0</v>
      </c>
      <c r="L39" s="62">
        <f>0</f>
        <v>0</v>
      </c>
      <c r="M39" s="62">
        <f>0</f>
        <v>0</v>
      </c>
      <c r="N39" s="62">
        <f>'3. Finansinės prielaidos'!L30+M39</f>
        <v>0</v>
      </c>
      <c r="O39" s="62">
        <f>'3. Finansinės prielaidos'!L31</f>
        <v>0</v>
      </c>
      <c r="P39" s="62">
        <f>'3. Finansinės prielaidos'!L32</f>
        <v>0</v>
      </c>
      <c r="Q39" s="62">
        <f t="shared" si="33"/>
        <v>0</v>
      </c>
      <c r="R39" s="62">
        <f>R38+('3. Finansinės prielaidos'!L31-'3. Finansinės prielaidos'!K31)+Q39</f>
        <v>0</v>
      </c>
      <c r="S39" s="62">
        <f>0</f>
        <v>0</v>
      </c>
      <c r="T39" s="62">
        <f>'3. Finansinės prielaidos'!L29+S39+G39</f>
        <v>0</v>
      </c>
      <c r="U39" s="62">
        <f t="shared" si="34"/>
        <v>0</v>
      </c>
      <c r="V39" s="72" t="str">
        <f t="shared" si="35"/>
        <v/>
      </c>
      <c r="W39" s="72" t="str">
        <f t="shared" si="36"/>
        <v/>
      </c>
      <c r="X39" s="57" t="str">
        <f t="shared" si="37"/>
        <v/>
      </c>
      <c r="Y39" s="57" t="str">
        <f t="shared" si="38"/>
        <v/>
      </c>
      <c r="Z39" s="57"/>
      <c r="AA39" s="57"/>
      <c r="AB39" s="57"/>
      <c r="AC39" s="57"/>
      <c r="AD39" s="57"/>
      <c r="AE39" s="57"/>
      <c r="AF39" s="57"/>
      <c r="AG39" s="57"/>
      <c r="AH39" s="57"/>
      <c r="AI39" s="57"/>
      <c r="AJ39" s="57"/>
      <c r="AK39" s="57"/>
      <c r="AL39" s="57"/>
      <c r="AM39" s="57"/>
      <c r="AN39" s="57"/>
      <c r="AO39" s="57"/>
      <c r="AP39" s="57"/>
      <c r="AQ39" s="57"/>
      <c r="AR39" s="57"/>
      <c r="AS39" s="57"/>
    </row>
    <row r="40" spans="1:45">
      <c r="A40" s="57">
        <v>1</v>
      </c>
      <c r="B40" s="57">
        <v>2026</v>
      </c>
      <c r="C40" s="62">
        <f>SUM('4. Metinis CAPEX'!F$9:F$9)</f>
        <v>0</v>
      </c>
      <c r="D40" s="62" cm="1">
        <f t="array" ref="D40">SUMPRODUCT('4. Metinis CAPEX'!F$9:F$9,IFERROR('2. Investicijos'!$N$5:$N$5/'2. Investicijos'!$H$5:$H$5,0))</f>
        <v>0</v>
      </c>
      <c r="E40" s="62" cm="1">
        <f t="array" ref="E40">SUMPRODUCT('4. Metinis CAPEX'!F$9:F$9,IFERROR(('2. Investicijos'!$I$5:$I$5+'2. Investicijos'!$J$5:$J$5+'2. Investicijos'!$K$5:$K$5+'2. Investicijos'!$L$5:$L$5)/'2. Investicijos'!$H$5:$H$5,0))</f>
        <v>0</v>
      </c>
      <c r="F40" s="62" cm="1">
        <f t="array" ref="F40">SUM('2. Investicijos'!$H$5:$H$5*IF('2. Investicijos'!$G$5:$G$5&lt;=35,30%,40%))</f>
        <v>0</v>
      </c>
      <c r="G40" s="62" cm="1">
        <f t="array" ref="G40">IF(AND(2026&gt;=2026,2026&lt;2026+'6. Aprašo scenarijus'!$C$4),SUM('2. Investicijos'!$H$5:$H$5*IF('2. Investicijos'!$G$5:$G$5&lt;=35,30%,40%))/'6. Aprašo scenarijus'!$C$4,0)</f>
        <v>0</v>
      </c>
      <c r="H40" s="62">
        <f t="shared" ref="H40:H71" si="40">D40-I40</f>
        <v>0</v>
      </c>
      <c r="I40" s="62">
        <f>SUM(F$5:F$5)</f>
        <v>0</v>
      </c>
      <c r="J40" s="62">
        <f>0</f>
        <v>0</v>
      </c>
      <c r="K40" s="62">
        <f>SUM(Z$5:Z$5)</f>
        <v>0</v>
      </c>
      <c r="L40" s="62">
        <f>SUM(P$5:P$5)</f>
        <v>0</v>
      </c>
      <c r="M40" s="62">
        <f>SUM(AJ$5:AJ$5)</f>
        <v>0</v>
      </c>
      <c r="N40" s="62">
        <f>'3. Finansinės prielaidos'!C30+M40</f>
        <v>0</v>
      </c>
      <c r="O40" s="62">
        <f>'3. Finansinės prielaidos'!C31</f>
        <v>0</v>
      </c>
      <c r="P40" s="62">
        <f>'3. Finansinės prielaidos'!C32</f>
        <v>0</v>
      </c>
      <c r="Q40" s="62" t="e">
        <f t="shared" ref="Q40:Q71" si="41">S40+G40+I40+E40-C40-J40</f>
        <v>#VALUE!</v>
      </c>
      <c r="R40" s="62" t="e">
        <f>O40+Q40</f>
        <v>#VALUE!</v>
      </c>
      <c r="S40" s="62" t="e" cm="1">
        <f t="array" ref="S40">SUMPRODUCT(--(2026&gt;'2. Investicijos'!$F$5:$F$5),--(2026&lt;='2. Investicijos'!$F$5:$F$5+'2. Investicijos'!$G$5:$G$5),IFERROR(('2. Investicijos'!$M$5:$M$5+IF('2. Investicijos'!$N$5:$N$5&gt;('2. Investicijos'!$H$5:$H$5*IF('2. Investicijos'!$G$5:$G$5&lt;=35,30%,40%)),'2. Investicijos'!$N$5:$N$5-('2. Investicijos'!$H$5:$H$5*IF('2. Investicijos'!$G$5:$G$5&lt;=35,30%,40%)),0)+('2. Investicijos'!$H$5:$H$5*IF('2. Investicijos'!$G$5:$G$5&lt;=35,30%,40%)))/'2. Investicijos'!$G$5:$G$5,0))+SUMPRODUCT(--(2026&gt;'2. Investicijos'!$F$5:$F$5),--(2026&lt;='2. Investicijos'!$F$5:$F$5+'2. Investicijos'!$G$5:$G$5),IFERROR(('2. Investicijos'!$M$5:$M$5+IF('2. Investicijos'!$N$5:$N$5&gt;('2. Investicijos'!$H$5:$H$5*IF('2. Investicijos'!$G$5:$G$5&lt;=35,30%,40%)),'2. Investicijos'!$N$5:$N$5-('2. Investicijos'!$H$5:$H$5*IF('2. Investicijos'!$G$5:$G$5&lt;=35,30%,40%)),0))*(1-((2026-'2. Investicijos'!$F$5:$F$5)-1)/'2. Investicijos'!$G$5:$G$5),0)*'5. 0% scenarijus'!$C$5)</f>
        <v>#VALUE!</v>
      </c>
      <c r="T40" s="62" t="e">
        <f>'3. Finansinės prielaidos'!C29+S40+G40</f>
        <v>#VALUE!</v>
      </c>
      <c r="U40" s="62" t="e">
        <f t="shared" ref="U40:U71" si="42">N40-R40</f>
        <v>#VALUE!</v>
      </c>
      <c r="V40" s="72" t="e">
        <f t="shared" ref="V40:V71" si="43">IF(OR(T40="",T40&lt;=0),"",U40/T40)</f>
        <v>#VALUE!</v>
      </c>
      <c r="W40" s="72" t="e">
        <f t="shared" ref="W40:W71" si="44">IF(T40&lt;=0,"",IF(P40+J40=0,999999,T40/(P40+J40)))</f>
        <v>#VALUE!</v>
      </c>
      <c r="X40" s="57" t="e">
        <f t="shared" ref="X40:X71" si="45">IF(OR(V40="",W40=""),"",IF(AND(V40&lt;=5.5,W40&gt;=1.2),"ATITINKA","NEATITINKA"))</f>
        <v>#VALUE!</v>
      </c>
      <c r="Y40" s="57" t="e">
        <f t="shared" ref="Y40:Y71" si="46">IF(X40&lt;&gt;"NEATITINKA","",IF(T40&lt;=0,"EBITDA ≤ 0",IF(AND(V40&gt;5.5,W40&lt;1.2),"Abu",IF(V40&gt;5.5,"Net Debt / EBITDA","DSCR"))))</f>
        <v>#VALUE!</v>
      </c>
      <c r="Z40" s="57"/>
      <c r="AA40" s="57"/>
      <c r="AB40" s="57"/>
      <c r="AC40" s="57"/>
      <c r="AD40" s="57"/>
      <c r="AE40" s="57"/>
      <c r="AF40" s="57"/>
      <c r="AG40" s="57"/>
      <c r="AH40" s="57"/>
      <c r="AI40" s="57"/>
      <c r="AJ40" s="57"/>
      <c r="AK40" s="57"/>
      <c r="AL40" s="57"/>
      <c r="AM40" s="57"/>
      <c r="AN40" s="57"/>
      <c r="AO40" s="57"/>
      <c r="AP40" s="57"/>
      <c r="AQ40" s="57"/>
      <c r="AR40" s="57"/>
      <c r="AS40" s="57"/>
    </row>
    <row r="41" spans="1:45">
      <c r="A41" s="57">
        <v>1</v>
      </c>
      <c r="B41" s="57">
        <v>2027</v>
      </c>
      <c r="C41" s="62">
        <f>SUM('4. Metinis CAPEX'!G$9:G$9)</f>
        <v>0</v>
      </c>
      <c r="D41" s="62" cm="1">
        <f t="array" ref="D41">SUMPRODUCT('4. Metinis CAPEX'!G$9:G$9,IFERROR('2. Investicijos'!$N$5:$N$5/'2. Investicijos'!$H$5:$H$5,0))</f>
        <v>0</v>
      </c>
      <c r="E41" s="62" cm="1">
        <f t="array" ref="E41">SUMPRODUCT('4. Metinis CAPEX'!G$9:G$9,IFERROR(('2. Investicijos'!$I$5:$I$5+'2. Investicijos'!$J$5:$J$5+'2. Investicijos'!$K$5:$K$5+'2. Investicijos'!$L$5:$L$5)/'2. Investicijos'!$H$5:$H$5,0))</f>
        <v>0</v>
      </c>
      <c r="F41" s="62" cm="1">
        <f t="array" ref="F41">SUM('2. Investicijos'!$H$5:$H$5*IF('2. Investicijos'!$G$5:$G$5&lt;=35,30%,40%))</f>
        <v>0</v>
      </c>
      <c r="G41" s="62" cm="1">
        <f t="array" ref="G41">IF(AND(2027&gt;=2026,2027&lt;2026+'6. Aprašo scenarijus'!$C$4),SUM('2. Investicijos'!$H$5:$H$5*IF('2. Investicijos'!$G$5:$G$5&lt;=35,30%,40%))/'6. Aprašo scenarijus'!$C$4,0)</f>
        <v>0</v>
      </c>
      <c r="H41" s="62">
        <f t="shared" si="40"/>
        <v>0</v>
      </c>
      <c r="I41" s="62">
        <f>SUM(G$5:G$5)</f>
        <v>0</v>
      </c>
      <c r="J41" s="62" t="e" cm="1">
        <f t="array" ref="J41">K41+L41+MAX(0,-R40)*IFERROR(SUMPRODUCT(IF('2. Investicijos'!$N$5:$N$5&gt;('2. Investicijos'!$H$5:$H$5*IF('2. Investicijos'!$G$5:$G$5&lt;=35,30%,40%)),'2. Investicijos'!$N$5:$N$5-('2. Investicijos'!$H$5:$H$5*IF('2. Investicijos'!$G$5:$G$5&lt;=35,30%,40%)),0),'2. Investicijos'!$O$5:$O$5/100)/SUM(IF('2. Investicijos'!$N$5:$N$5&gt;('2. Investicijos'!$H$5:$H$5*IF('2. Investicijos'!$G$5:$G$5&lt;=35,30%,40%)),'2. Investicijos'!$N$5:$N$5-('2. Investicijos'!$H$5:$H$5*IF('2. Investicijos'!$G$5:$G$5&lt;=35,30%,40%)),0)),0)</f>
        <v>#VALUE!</v>
      </c>
      <c r="K41" s="62">
        <f>SUM(AA$5:AA$5)</f>
        <v>0</v>
      </c>
      <c r="L41" s="62">
        <f>SUM(Q$5:Q$5)</f>
        <v>0</v>
      </c>
      <c r="M41" s="62">
        <f>SUM(AK$5:AK$5)</f>
        <v>0</v>
      </c>
      <c r="N41" s="62">
        <f>'3. Finansinės prielaidos'!D30+M41</f>
        <v>0</v>
      </c>
      <c r="O41" s="62">
        <f>'3. Finansinės prielaidos'!D31</f>
        <v>0</v>
      </c>
      <c r="P41" s="62">
        <f>'3. Finansinės prielaidos'!D32</f>
        <v>0</v>
      </c>
      <c r="Q41" s="62" t="e">
        <f t="shared" si="41"/>
        <v>#VALUE!</v>
      </c>
      <c r="R41" s="62" t="e">
        <f>R40+('3. Finansinės prielaidos'!D31-'3. Finansinės prielaidos'!C31)+Q41</f>
        <v>#VALUE!</v>
      </c>
      <c r="S41" s="62" t="e" cm="1">
        <f t="array" ref="S41">SUMPRODUCT(--(2027&gt;'2. Investicijos'!$F$5:$F$5),--(2027&lt;='2. Investicijos'!$F$5:$F$5+'2. Investicijos'!$G$5:$G$5),IFERROR(('2. Investicijos'!$M$5:$M$5+IF('2. Investicijos'!$N$5:$N$5&gt;('2. Investicijos'!$H$5:$H$5*IF('2. Investicijos'!$G$5:$G$5&lt;=35,30%,40%)),'2. Investicijos'!$N$5:$N$5-('2. Investicijos'!$H$5:$H$5*IF('2. Investicijos'!$G$5:$G$5&lt;=35,30%,40%)),0)+('2. Investicijos'!$H$5:$H$5*IF('2. Investicijos'!$G$5:$G$5&lt;=35,30%,40%)))/'2. Investicijos'!$G$5:$G$5,0))+SUMPRODUCT(--(2027&gt;'2. Investicijos'!$F$5:$F$5),--(2027&lt;='2. Investicijos'!$F$5:$F$5+'2. Investicijos'!$G$5:$G$5),IFERROR(('2. Investicijos'!$M$5:$M$5+IF('2. Investicijos'!$N$5:$N$5&gt;('2. Investicijos'!$H$5:$H$5*IF('2. Investicijos'!$G$5:$G$5&lt;=35,30%,40%)),'2. Investicijos'!$N$5:$N$5-('2. Investicijos'!$H$5:$H$5*IF('2. Investicijos'!$G$5:$G$5&lt;=35,30%,40%)),0))*(1-((2027-'2. Investicijos'!$F$5:$F$5)-1)/'2. Investicijos'!$G$5:$G$5),0)*'5. 0% scenarijus'!$C$5)</f>
        <v>#VALUE!</v>
      </c>
      <c r="T41" s="62" t="e">
        <f>'3. Finansinės prielaidos'!D29+S41+G41</f>
        <v>#VALUE!</v>
      </c>
      <c r="U41" s="62" t="e">
        <f t="shared" si="42"/>
        <v>#VALUE!</v>
      </c>
      <c r="V41" s="72" t="e">
        <f t="shared" si="43"/>
        <v>#VALUE!</v>
      </c>
      <c r="W41" s="72" t="e">
        <f t="shared" si="44"/>
        <v>#VALUE!</v>
      </c>
      <c r="X41" s="57" t="e">
        <f t="shared" si="45"/>
        <v>#VALUE!</v>
      </c>
      <c r="Y41" s="57" t="e">
        <f t="shared" si="46"/>
        <v>#VALUE!</v>
      </c>
      <c r="Z41" s="57"/>
      <c r="AA41" s="57"/>
      <c r="AB41" s="57"/>
      <c r="AC41" s="57"/>
      <c r="AD41" s="57"/>
      <c r="AE41" s="57"/>
      <c r="AF41" s="57"/>
      <c r="AG41" s="57"/>
      <c r="AH41" s="57"/>
      <c r="AI41" s="57"/>
      <c r="AJ41" s="57"/>
      <c r="AK41" s="57"/>
      <c r="AL41" s="57"/>
      <c r="AM41" s="57"/>
      <c r="AN41" s="57"/>
      <c r="AO41" s="57"/>
      <c r="AP41" s="57"/>
      <c r="AQ41" s="57"/>
      <c r="AR41" s="57"/>
      <c r="AS41" s="57"/>
    </row>
    <row r="42" spans="1:45">
      <c r="A42" s="57">
        <v>1</v>
      </c>
      <c r="B42" s="57">
        <v>2028</v>
      </c>
      <c r="C42" s="62">
        <f>SUM('4. Metinis CAPEX'!H$9:H$9)</f>
        <v>0</v>
      </c>
      <c r="D42" s="62" cm="1">
        <f t="array" ref="D42">SUMPRODUCT('4. Metinis CAPEX'!H$9:H$9,IFERROR('2. Investicijos'!$N$5:$N$5/'2. Investicijos'!$H$5:$H$5,0))</f>
        <v>0</v>
      </c>
      <c r="E42" s="62" cm="1">
        <f t="array" ref="E42">SUMPRODUCT('4. Metinis CAPEX'!H$9:H$9,IFERROR(('2. Investicijos'!$I$5:$I$5+'2. Investicijos'!$J$5:$J$5+'2. Investicijos'!$K$5:$K$5+'2. Investicijos'!$L$5:$L$5)/'2. Investicijos'!$H$5:$H$5,0))</f>
        <v>0</v>
      </c>
      <c r="F42" s="62" cm="1">
        <f t="array" ref="F42">SUM('2. Investicijos'!$H$5:$H$5*IF('2. Investicijos'!$G$5:$G$5&lt;=35,30%,40%))</f>
        <v>0</v>
      </c>
      <c r="G42" s="62" cm="1">
        <f t="array" ref="G42">IF(AND(2028&gt;=2026,2028&lt;2026+'6. Aprašo scenarijus'!$C$4),SUM('2. Investicijos'!$H$5:$H$5*IF('2. Investicijos'!$G$5:$G$5&lt;=35,30%,40%))/'6. Aprašo scenarijus'!$C$4,0)</f>
        <v>0</v>
      </c>
      <c r="H42" s="62">
        <f t="shared" si="40"/>
        <v>0</v>
      </c>
      <c r="I42" s="62">
        <f>SUM(H$5:H$5)</f>
        <v>0</v>
      </c>
      <c r="J42" s="62" t="e" cm="1">
        <f t="array" ref="J42">K42+L42+MAX(0,-R41)*IFERROR(SUMPRODUCT(IF('2. Investicijos'!$N$5:$N$5&gt;('2. Investicijos'!$H$5:$H$5*IF('2. Investicijos'!$G$5:$G$5&lt;=35,30%,40%)),'2. Investicijos'!$N$5:$N$5-('2. Investicijos'!$H$5:$H$5*IF('2. Investicijos'!$G$5:$G$5&lt;=35,30%,40%)),0),'2. Investicijos'!$O$5:$O$5/100)/SUM(IF('2. Investicijos'!$N$5:$N$5&gt;('2. Investicijos'!$H$5:$H$5*IF('2. Investicijos'!$G$5:$G$5&lt;=35,30%,40%)),'2. Investicijos'!$N$5:$N$5-('2. Investicijos'!$H$5:$H$5*IF('2. Investicijos'!$G$5:$G$5&lt;=35,30%,40%)),0)),0)</f>
        <v>#VALUE!</v>
      </c>
      <c r="K42" s="62">
        <f>SUM(AB$5:AB$5)</f>
        <v>0</v>
      </c>
      <c r="L42" s="62">
        <f>SUM(R$5:R$5)</f>
        <v>0</v>
      </c>
      <c r="M42" s="62">
        <f>SUM(AL$5:AL$5)</f>
        <v>0</v>
      </c>
      <c r="N42" s="62">
        <f>'3. Finansinės prielaidos'!E30+M42</f>
        <v>0</v>
      </c>
      <c r="O42" s="62">
        <f>'3. Finansinės prielaidos'!E31</f>
        <v>0</v>
      </c>
      <c r="P42" s="62">
        <f>'3. Finansinės prielaidos'!E32</f>
        <v>0</v>
      </c>
      <c r="Q42" s="62" t="e">
        <f t="shared" si="41"/>
        <v>#VALUE!</v>
      </c>
      <c r="R42" s="62" t="e">
        <f>R41+('3. Finansinės prielaidos'!E31-'3. Finansinės prielaidos'!D31)+Q42</f>
        <v>#VALUE!</v>
      </c>
      <c r="S42" s="62" t="e" cm="1">
        <f t="array" ref="S42">SUMPRODUCT(--(2028&gt;'2. Investicijos'!$F$5:$F$5),--(2028&lt;='2. Investicijos'!$F$5:$F$5+'2. Investicijos'!$G$5:$G$5),IFERROR(('2. Investicijos'!$M$5:$M$5+IF('2. Investicijos'!$N$5:$N$5&gt;('2. Investicijos'!$H$5:$H$5*IF('2. Investicijos'!$G$5:$G$5&lt;=35,30%,40%)),'2. Investicijos'!$N$5:$N$5-('2. Investicijos'!$H$5:$H$5*IF('2. Investicijos'!$G$5:$G$5&lt;=35,30%,40%)),0)+('2. Investicijos'!$H$5:$H$5*IF('2. Investicijos'!$G$5:$G$5&lt;=35,30%,40%)))/'2. Investicijos'!$G$5:$G$5,0))+SUMPRODUCT(--(2028&gt;'2. Investicijos'!$F$5:$F$5),--(2028&lt;='2. Investicijos'!$F$5:$F$5+'2. Investicijos'!$G$5:$G$5),IFERROR(('2. Investicijos'!$M$5:$M$5+IF('2. Investicijos'!$N$5:$N$5&gt;('2. Investicijos'!$H$5:$H$5*IF('2. Investicijos'!$G$5:$G$5&lt;=35,30%,40%)),'2. Investicijos'!$N$5:$N$5-('2. Investicijos'!$H$5:$H$5*IF('2. Investicijos'!$G$5:$G$5&lt;=35,30%,40%)),0))*(1-((2028-'2. Investicijos'!$F$5:$F$5)-1)/'2. Investicijos'!$G$5:$G$5),0)*'5. 0% scenarijus'!$C$5)</f>
        <v>#VALUE!</v>
      </c>
      <c r="T42" s="62" t="e">
        <f>'3. Finansinės prielaidos'!E29+S42+G42</f>
        <v>#VALUE!</v>
      </c>
      <c r="U42" s="62" t="e">
        <f t="shared" si="42"/>
        <v>#VALUE!</v>
      </c>
      <c r="V42" s="72" t="e">
        <f t="shared" si="43"/>
        <v>#VALUE!</v>
      </c>
      <c r="W42" s="72" t="e">
        <f t="shared" si="44"/>
        <v>#VALUE!</v>
      </c>
      <c r="X42" s="57" t="e">
        <f t="shared" si="45"/>
        <v>#VALUE!</v>
      </c>
      <c r="Y42" s="57" t="e">
        <f t="shared" si="46"/>
        <v>#VALUE!</v>
      </c>
      <c r="Z42" s="57"/>
      <c r="AA42" s="57"/>
      <c r="AB42" s="57"/>
      <c r="AC42" s="57"/>
      <c r="AD42" s="57"/>
      <c r="AE42" s="57"/>
      <c r="AF42" s="57"/>
      <c r="AG42" s="57"/>
      <c r="AH42" s="57"/>
      <c r="AI42" s="57"/>
      <c r="AJ42" s="57"/>
      <c r="AK42" s="57"/>
      <c r="AL42" s="57"/>
      <c r="AM42" s="57"/>
      <c r="AN42" s="57"/>
      <c r="AO42" s="57"/>
      <c r="AP42" s="57"/>
      <c r="AQ42" s="57"/>
      <c r="AR42" s="57"/>
      <c r="AS42" s="57"/>
    </row>
    <row r="43" spans="1:45">
      <c r="A43" s="57">
        <v>1</v>
      </c>
      <c r="B43" s="57">
        <v>2029</v>
      </c>
      <c r="C43" s="62">
        <f>SUM('4. Metinis CAPEX'!I$9:I$9)</f>
        <v>0</v>
      </c>
      <c r="D43" s="62" cm="1">
        <f t="array" ref="D43">SUMPRODUCT('4. Metinis CAPEX'!I$9:I$9,IFERROR('2. Investicijos'!$N$5:$N$5/'2. Investicijos'!$H$5:$H$5,0))</f>
        <v>0</v>
      </c>
      <c r="E43" s="62" cm="1">
        <f t="array" ref="E43">SUMPRODUCT('4. Metinis CAPEX'!I$9:I$9,IFERROR(('2. Investicijos'!$I$5:$I$5+'2. Investicijos'!$J$5:$J$5+'2. Investicijos'!$K$5:$K$5+'2. Investicijos'!$L$5:$L$5)/'2. Investicijos'!$H$5:$H$5,0))</f>
        <v>0</v>
      </c>
      <c r="F43" s="62" cm="1">
        <f t="array" ref="F43">SUM('2. Investicijos'!$H$5:$H$5*IF('2. Investicijos'!$G$5:$G$5&lt;=35,30%,40%))</f>
        <v>0</v>
      </c>
      <c r="G43" s="62" cm="1">
        <f t="array" ref="G43">IF(AND(2029&gt;=2026,2029&lt;2026+'6. Aprašo scenarijus'!$C$4),SUM('2. Investicijos'!$H$5:$H$5*IF('2. Investicijos'!$G$5:$G$5&lt;=35,30%,40%))/'6. Aprašo scenarijus'!$C$4,0)</f>
        <v>0</v>
      </c>
      <c r="H43" s="62">
        <f t="shared" si="40"/>
        <v>0</v>
      </c>
      <c r="I43" s="62">
        <f>SUM(I$5:I$5)</f>
        <v>0</v>
      </c>
      <c r="J43" s="62" t="e" cm="1">
        <f t="array" ref="J43">K43+L43+MAX(0,-R42)*IFERROR(SUMPRODUCT(IF('2. Investicijos'!$N$5:$N$5&gt;('2. Investicijos'!$H$5:$H$5*IF('2. Investicijos'!$G$5:$G$5&lt;=35,30%,40%)),'2. Investicijos'!$N$5:$N$5-('2. Investicijos'!$H$5:$H$5*IF('2. Investicijos'!$G$5:$G$5&lt;=35,30%,40%)),0),'2. Investicijos'!$O$5:$O$5/100)/SUM(IF('2. Investicijos'!$N$5:$N$5&gt;('2. Investicijos'!$H$5:$H$5*IF('2. Investicijos'!$G$5:$G$5&lt;=35,30%,40%)),'2. Investicijos'!$N$5:$N$5-('2. Investicijos'!$H$5:$H$5*IF('2. Investicijos'!$G$5:$G$5&lt;=35,30%,40%)),0)),0)</f>
        <v>#VALUE!</v>
      </c>
      <c r="K43" s="62">
        <f>SUM(AC$5:AC$5)</f>
        <v>0</v>
      </c>
      <c r="L43" s="62">
        <f>SUM(S$5:S$5)</f>
        <v>0</v>
      </c>
      <c r="M43" s="62">
        <f>SUM(AM$5:AM$5)</f>
        <v>0</v>
      </c>
      <c r="N43" s="62">
        <f>'3. Finansinės prielaidos'!F30+M43</f>
        <v>0</v>
      </c>
      <c r="O43" s="62">
        <f>'3. Finansinės prielaidos'!F31</f>
        <v>0</v>
      </c>
      <c r="P43" s="62">
        <f>'3. Finansinės prielaidos'!F32</f>
        <v>0</v>
      </c>
      <c r="Q43" s="62" t="e">
        <f t="shared" si="41"/>
        <v>#VALUE!</v>
      </c>
      <c r="R43" s="62" t="e">
        <f>R42+('3. Finansinės prielaidos'!F31-'3. Finansinės prielaidos'!E31)+Q43</f>
        <v>#VALUE!</v>
      </c>
      <c r="S43" s="62" t="e" cm="1">
        <f t="array" ref="S43">SUMPRODUCT(--(2029&gt;'2. Investicijos'!$F$5:$F$5),--(2029&lt;='2. Investicijos'!$F$5:$F$5+'2. Investicijos'!$G$5:$G$5),IFERROR(('2. Investicijos'!$M$5:$M$5+IF('2. Investicijos'!$N$5:$N$5&gt;('2. Investicijos'!$H$5:$H$5*IF('2. Investicijos'!$G$5:$G$5&lt;=35,30%,40%)),'2. Investicijos'!$N$5:$N$5-('2. Investicijos'!$H$5:$H$5*IF('2. Investicijos'!$G$5:$G$5&lt;=35,30%,40%)),0)+('2. Investicijos'!$H$5:$H$5*IF('2. Investicijos'!$G$5:$G$5&lt;=35,30%,40%)))/'2. Investicijos'!$G$5:$G$5,0))+SUMPRODUCT(--(2029&gt;'2. Investicijos'!$F$5:$F$5),--(2029&lt;='2. Investicijos'!$F$5:$F$5+'2. Investicijos'!$G$5:$G$5),IFERROR(('2. Investicijos'!$M$5:$M$5+IF('2. Investicijos'!$N$5:$N$5&gt;('2. Investicijos'!$H$5:$H$5*IF('2. Investicijos'!$G$5:$G$5&lt;=35,30%,40%)),'2. Investicijos'!$N$5:$N$5-('2. Investicijos'!$H$5:$H$5*IF('2. Investicijos'!$G$5:$G$5&lt;=35,30%,40%)),0))*(1-((2029-'2. Investicijos'!$F$5:$F$5)-1)/'2. Investicijos'!$G$5:$G$5),0)*'5. 0% scenarijus'!$C$5)</f>
        <v>#VALUE!</v>
      </c>
      <c r="T43" s="62" t="e">
        <f>'3. Finansinės prielaidos'!F29+S43+G43</f>
        <v>#VALUE!</v>
      </c>
      <c r="U43" s="62" t="e">
        <f t="shared" si="42"/>
        <v>#VALUE!</v>
      </c>
      <c r="V43" s="72" t="e">
        <f t="shared" si="43"/>
        <v>#VALUE!</v>
      </c>
      <c r="W43" s="72" t="e">
        <f t="shared" si="44"/>
        <v>#VALUE!</v>
      </c>
      <c r="X43" s="57" t="e">
        <f t="shared" si="45"/>
        <v>#VALUE!</v>
      </c>
      <c r="Y43" s="57" t="e">
        <f t="shared" si="46"/>
        <v>#VALUE!</v>
      </c>
      <c r="Z43" s="57"/>
      <c r="AA43" s="57"/>
      <c r="AB43" s="57"/>
      <c r="AC43" s="57"/>
      <c r="AD43" s="57"/>
      <c r="AE43" s="57"/>
      <c r="AF43" s="57"/>
      <c r="AG43" s="57"/>
      <c r="AH43" s="57"/>
      <c r="AI43" s="57"/>
      <c r="AJ43" s="57"/>
      <c r="AK43" s="57"/>
      <c r="AL43" s="57"/>
      <c r="AM43" s="57"/>
      <c r="AN43" s="57"/>
      <c r="AO43" s="57"/>
      <c r="AP43" s="57"/>
      <c r="AQ43" s="57"/>
      <c r="AR43" s="57"/>
      <c r="AS43" s="57"/>
    </row>
    <row r="44" spans="1:45">
      <c r="A44" s="57">
        <v>1</v>
      </c>
      <c r="B44" s="57">
        <v>2030</v>
      </c>
      <c r="C44" s="62">
        <f>SUM('4. Metinis CAPEX'!J$9:J$9)</f>
        <v>0</v>
      </c>
      <c r="D44" s="62" cm="1">
        <f t="array" ref="D44">SUMPRODUCT('4. Metinis CAPEX'!J$9:J$9,IFERROR('2. Investicijos'!$N$5:$N$5/'2. Investicijos'!$H$5:$H$5,0))</f>
        <v>0</v>
      </c>
      <c r="E44" s="62" cm="1">
        <f t="array" ref="E44">SUMPRODUCT('4. Metinis CAPEX'!J$9:J$9,IFERROR(('2. Investicijos'!$I$5:$I$5+'2. Investicijos'!$J$5:$J$5+'2. Investicijos'!$K$5:$K$5+'2. Investicijos'!$L$5:$L$5)/'2. Investicijos'!$H$5:$H$5,0))</f>
        <v>0</v>
      </c>
      <c r="F44" s="62" cm="1">
        <f t="array" ref="F44">SUM('2. Investicijos'!$H$5:$H$5*IF('2. Investicijos'!$G$5:$G$5&lt;=35,30%,40%))</f>
        <v>0</v>
      </c>
      <c r="G44" s="62" cm="1">
        <f t="array" ref="G44">IF(AND(2030&gt;=2026,2030&lt;2026+'6. Aprašo scenarijus'!$C$4),SUM('2. Investicijos'!$H$5:$H$5*IF('2. Investicijos'!$G$5:$G$5&lt;=35,30%,40%))/'6. Aprašo scenarijus'!$C$4,0)</f>
        <v>0</v>
      </c>
      <c r="H44" s="62">
        <f t="shared" si="40"/>
        <v>0</v>
      </c>
      <c r="I44" s="62">
        <f>SUM(J$5:J$5)</f>
        <v>0</v>
      </c>
      <c r="J44" s="62" t="e" cm="1">
        <f t="array" ref="J44">K44+L44+MAX(0,-R43)*IFERROR(SUMPRODUCT(IF('2. Investicijos'!$N$5:$N$5&gt;('2. Investicijos'!$H$5:$H$5*IF('2. Investicijos'!$G$5:$G$5&lt;=35,30%,40%)),'2. Investicijos'!$N$5:$N$5-('2. Investicijos'!$H$5:$H$5*IF('2. Investicijos'!$G$5:$G$5&lt;=35,30%,40%)),0),'2. Investicijos'!$O$5:$O$5/100)/SUM(IF('2. Investicijos'!$N$5:$N$5&gt;('2. Investicijos'!$H$5:$H$5*IF('2. Investicijos'!$G$5:$G$5&lt;=35,30%,40%)),'2. Investicijos'!$N$5:$N$5-('2. Investicijos'!$H$5:$H$5*IF('2. Investicijos'!$G$5:$G$5&lt;=35,30%,40%)),0)),0)</f>
        <v>#VALUE!</v>
      </c>
      <c r="K44" s="62">
        <f>SUM(AD$5:AD$5)</f>
        <v>0</v>
      </c>
      <c r="L44" s="62">
        <f>SUM(T$5:T$5)</f>
        <v>0</v>
      </c>
      <c r="M44" s="62">
        <f>SUM(AN$5:AN$5)</f>
        <v>0</v>
      </c>
      <c r="N44" s="62">
        <f>'3. Finansinės prielaidos'!G30+M44</f>
        <v>0</v>
      </c>
      <c r="O44" s="62">
        <f>'3. Finansinės prielaidos'!G31</f>
        <v>0</v>
      </c>
      <c r="P44" s="62">
        <f>'3. Finansinės prielaidos'!G32</f>
        <v>0</v>
      </c>
      <c r="Q44" s="62" t="e">
        <f t="shared" si="41"/>
        <v>#VALUE!</v>
      </c>
      <c r="R44" s="62" t="e">
        <f>R43+('3. Finansinės prielaidos'!G31-'3. Finansinės prielaidos'!F31)+Q44</f>
        <v>#VALUE!</v>
      </c>
      <c r="S44" s="62" t="e" cm="1">
        <f t="array" ref="S44">SUMPRODUCT(--(2030&gt;'2. Investicijos'!$F$5:$F$5),--(2030&lt;='2. Investicijos'!$F$5:$F$5+'2. Investicijos'!$G$5:$G$5),IFERROR(('2. Investicijos'!$M$5:$M$5+IF('2. Investicijos'!$N$5:$N$5&gt;('2. Investicijos'!$H$5:$H$5*IF('2. Investicijos'!$G$5:$G$5&lt;=35,30%,40%)),'2. Investicijos'!$N$5:$N$5-('2. Investicijos'!$H$5:$H$5*IF('2. Investicijos'!$G$5:$G$5&lt;=35,30%,40%)),0)+('2. Investicijos'!$H$5:$H$5*IF('2. Investicijos'!$G$5:$G$5&lt;=35,30%,40%)))/'2. Investicijos'!$G$5:$G$5,0))+SUMPRODUCT(--(2030&gt;'2. Investicijos'!$F$5:$F$5),--(2030&lt;='2. Investicijos'!$F$5:$F$5+'2. Investicijos'!$G$5:$G$5),IFERROR(('2. Investicijos'!$M$5:$M$5+IF('2. Investicijos'!$N$5:$N$5&gt;('2. Investicijos'!$H$5:$H$5*IF('2. Investicijos'!$G$5:$G$5&lt;=35,30%,40%)),'2. Investicijos'!$N$5:$N$5-('2. Investicijos'!$H$5:$H$5*IF('2. Investicijos'!$G$5:$G$5&lt;=35,30%,40%)),0))*(1-((2030-'2. Investicijos'!$F$5:$F$5)-1)/'2. Investicijos'!$G$5:$G$5),0)*'5. 0% scenarijus'!$C$5)</f>
        <v>#VALUE!</v>
      </c>
      <c r="T44" s="62" t="e">
        <f>'3. Finansinės prielaidos'!G29+S44+G44</f>
        <v>#VALUE!</v>
      </c>
      <c r="U44" s="62" t="e">
        <f t="shared" si="42"/>
        <v>#VALUE!</v>
      </c>
      <c r="V44" s="72" t="e">
        <f t="shared" si="43"/>
        <v>#VALUE!</v>
      </c>
      <c r="W44" s="72" t="e">
        <f t="shared" si="44"/>
        <v>#VALUE!</v>
      </c>
      <c r="X44" s="57" t="e">
        <f t="shared" si="45"/>
        <v>#VALUE!</v>
      </c>
      <c r="Y44" s="57" t="e">
        <f t="shared" si="46"/>
        <v>#VALUE!</v>
      </c>
      <c r="Z44" s="57"/>
      <c r="AA44" s="57"/>
      <c r="AB44" s="57"/>
      <c r="AC44" s="57"/>
      <c r="AD44" s="57"/>
      <c r="AE44" s="57"/>
      <c r="AF44" s="57"/>
      <c r="AG44" s="57"/>
      <c r="AH44" s="57"/>
      <c r="AI44" s="57"/>
      <c r="AJ44" s="57"/>
      <c r="AK44" s="57"/>
      <c r="AL44" s="57"/>
      <c r="AM44" s="57"/>
      <c r="AN44" s="57"/>
      <c r="AO44" s="57"/>
      <c r="AP44" s="57"/>
      <c r="AQ44" s="57"/>
      <c r="AR44" s="57"/>
      <c r="AS44" s="57"/>
    </row>
    <row r="45" spans="1:45">
      <c r="A45" s="57">
        <v>1</v>
      </c>
      <c r="B45" s="57">
        <v>2031</v>
      </c>
      <c r="C45" s="62">
        <f>SUM('4. Metinis CAPEX'!K$9:K$9)</f>
        <v>0</v>
      </c>
      <c r="D45" s="62" cm="1">
        <f t="array" ref="D45">SUMPRODUCT('4. Metinis CAPEX'!K$9:K$9,IFERROR('2. Investicijos'!$N$5:$N$5/'2. Investicijos'!$H$5:$H$5,0))</f>
        <v>0</v>
      </c>
      <c r="E45" s="62" cm="1">
        <f t="array" ref="E45">SUMPRODUCT('4. Metinis CAPEX'!K$9:K$9,IFERROR(('2. Investicijos'!$I$5:$I$5+'2. Investicijos'!$J$5:$J$5+'2. Investicijos'!$K$5:$K$5+'2. Investicijos'!$L$5:$L$5)/'2. Investicijos'!$H$5:$H$5,0))</f>
        <v>0</v>
      </c>
      <c r="F45" s="62" cm="1">
        <f t="array" ref="F45">SUM('2. Investicijos'!$H$5:$H$5*IF('2. Investicijos'!$G$5:$G$5&lt;=35,30%,40%))</f>
        <v>0</v>
      </c>
      <c r="G45" s="62" cm="1">
        <f t="array" ref="G45">IF(AND(2031&gt;=2026,2031&lt;2026+'6. Aprašo scenarijus'!$C$4),SUM('2. Investicijos'!$H$5:$H$5*IF('2. Investicijos'!$G$5:$G$5&lt;=35,30%,40%))/'6. Aprašo scenarijus'!$C$4,0)</f>
        <v>0</v>
      </c>
      <c r="H45" s="62">
        <f t="shared" si="40"/>
        <v>0</v>
      </c>
      <c r="I45" s="62">
        <f>SUM(K$5:K$5)</f>
        <v>0</v>
      </c>
      <c r="J45" s="62" t="e" cm="1">
        <f t="array" ref="J45">K45+L45+MAX(0,-R44)*IFERROR(SUMPRODUCT(IF('2. Investicijos'!$N$5:$N$5&gt;('2. Investicijos'!$H$5:$H$5*IF('2. Investicijos'!$G$5:$G$5&lt;=35,30%,40%)),'2. Investicijos'!$N$5:$N$5-('2. Investicijos'!$H$5:$H$5*IF('2. Investicijos'!$G$5:$G$5&lt;=35,30%,40%)),0),'2. Investicijos'!$O$5:$O$5/100)/SUM(IF('2. Investicijos'!$N$5:$N$5&gt;('2. Investicijos'!$H$5:$H$5*IF('2. Investicijos'!$G$5:$G$5&lt;=35,30%,40%)),'2. Investicijos'!$N$5:$N$5-('2. Investicijos'!$H$5:$H$5*IF('2. Investicijos'!$G$5:$G$5&lt;=35,30%,40%)),0)),0)</f>
        <v>#VALUE!</v>
      </c>
      <c r="K45" s="62">
        <f>SUM(AE$5:AE$5)</f>
        <v>0</v>
      </c>
      <c r="L45" s="62">
        <f>SUM(U$5:U$5)</f>
        <v>0</v>
      </c>
      <c r="M45" s="62">
        <f>SUM(AO$5:AO$5)</f>
        <v>0</v>
      </c>
      <c r="N45" s="62">
        <f>'3. Finansinės prielaidos'!H30+M45</f>
        <v>0</v>
      </c>
      <c r="O45" s="62">
        <f>'3. Finansinės prielaidos'!H31</f>
        <v>0</v>
      </c>
      <c r="P45" s="62">
        <f>'3. Finansinės prielaidos'!H32</f>
        <v>0</v>
      </c>
      <c r="Q45" s="62" t="e">
        <f t="shared" si="41"/>
        <v>#VALUE!</v>
      </c>
      <c r="R45" s="62" t="e">
        <f>R44+('3. Finansinės prielaidos'!H31-'3. Finansinės prielaidos'!G31)+Q45</f>
        <v>#VALUE!</v>
      </c>
      <c r="S45" s="62" t="e" cm="1">
        <f t="array" ref="S45">SUMPRODUCT(--(2031&gt;'2. Investicijos'!$F$5:$F$5),--(2031&lt;='2. Investicijos'!$F$5:$F$5+'2. Investicijos'!$G$5:$G$5),IFERROR(('2. Investicijos'!$M$5:$M$5+IF('2. Investicijos'!$N$5:$N$5&gt;('2. Investicijos'!$H$5:$H$5*IF('2. Investicijos'!$G$5:$G$5&lt;=35,30%,40%)),'2. Investicijos'!$N$5:$N$5-('2. Investicijos'!$H$5:$H$5*IF('2. Investicijos'!$G$5:$G$5&lt;=35,30%,40%)),0)+('2. Investicijos'!$H$5:$H$5*IF('2. Investicijos'!$G$5:$G$5&lt;=35,30%,40%)))/'2. Investicijos'!$G$5:$G$5,0))+SUMPRODUCT(--(2031&gt;'2. Investicijos'!$F$5:$F$5),--(2031&lt;='2. Investicijos'!$F$5:$F$5+'2. Investicijos'!$G$5:$G$5),IFERROR(('2. Investicijos'!$M$5:$M$5+IF('2. Investicijos'!$N$5:$N$5&gt;('2. Investicijos'!$H$5:$H$5*IF('2. Investicijos'!$G$5:$G$5&lt;=35,30%,40%)),'2. Investicijos'!$N$5:$N$5-('2. Investicijos'!$H$5:$H$5*IF('2. Investicijos'!$G$5:$G$5&lt;=35,30%,40%)),0))*(1-((2031-'2. Investicijos'!$F$5:$F$5)-1)/'2. Investicijos'!$G$5:$G$5),0)*'5. 0% scenarijus'!$C$5)</f>
        <v>#VALUE!</v>
      </c>
      <c r="T45" s="62" t="e">
        <f>'3. Finansinės prielaidos'!H29+S45+G45</f>
        <v>#VALUE!</v>
      </c>
      <c r="U45" s="62" t="e">
        <f t="shared" si="42"/>
        <v>#VALUE!</v>
      </c>
      <c r="V45" s="72" t="e">
        <f t="shared" si="43"/>
        <v>#VALUE!</v>
      </c>
      <c r="W45" s="72" t="e">
        <f t="shared" si="44"/>
        <v>#VALUE!</v>
      </c>
      <c r="X45" s="57" t="e">
        <f t="shared" si="45"/>
        <v>#VALUE!</v>
      </c>
      <c r="Y45" s="57" t="e">
        <f t="shared" si="46"/>
        <v>#VALUE!</v>
      </c>
      <c r="Z45" s="57"/>
      <c r="AA45" s="57"/>
      <c r="AB45" s="57"/>
      <c r="AC45" s="57"/>
      <c r="AD45" s="57"/>
      <c r="AE45" s="57"/>
      <c r="AF45" s="57"/>
      <c r="AG45" s="57"/>
      <c r="AH45" s="57"/>
      <c r="AI45" s="57"/>
      <c r="AJ45" s="57"/>
      <c r="AK45" s="57"/>
      <c r="AL45" s="57"/>
      <c r="AM45" s="57"/>
      <c r="AN45" s="57"/>
      <c r="AO45" s="57"/>
      <c r="AP45" s="57"/>
      <c r="AQ45" s="57"/>
      <c r="AR45" s="57"/>
      <c r="AS45" s="57"/>
    </row>
    <row r="46" spans="1:45">
      <c r="A46" s="57">
        <v>1</v>
      </c>
      <c r="B46" s="57">
        <v>2032</v>
      </c>
      <c r="C46" s="62">
        <f>SUM('4. Metinis CAPEX'!L$9:L$9)</f>
        <v>0</v>
      </c>
      <c r="D46" s="62" cm="1">
        <f t="array" ref="D46">SUMPRODUCT('4. Metinis CAPEX'!L$9:L$9,IFERROR('2. Investicijos'!$N$5:$N$5/'2. Investicijos'!$H$5:$H$5,0))</f>
        <v>0</v>
      </c>
      <c r="E46" s="62" cm="1">
        <f t="array" ref="E46">SUMPRODUCT('4. Metinis CAPEX'!L$9:L$9,IFERROR(('2. Investicijos'!$I$5:$I$5+'2. Investicijos'!$J$5:$J$5+'2. Investicijos'!$K$5:$K$5+'2. Investicijos'!$L$5:$L$5)/'2. Investicijos'!$H$5:$H$5,0))</f>
        <v>0</v>
      </c>
      <c r="F46" s="62" cm="1">
        <f t="array" ref="F46">SUM('2. Investicijos'!$H$5:$H$5*IF('2. Investicijos'!$G$5:$G$5&lt;=35,30%,40%))</f>
        <v>0</v>
      </c>
      <c r="G46" s="62" cm="1">
        <f t="array" ref="G46">IF(AND(2032&gt;=2026,2032&lt;2026+'6. Aprašo scenarijus'!$C$4),SUM('2. Investicijos'!$H$5:$H$5*IF('2. Investicijos'!$G$5:$G$5&lt;=35,30%,40%))/'6. Aprašo scenarijus'!$C$4,0)</f>
        <v>0</v>
      </c>
      <c r="H46" s="62">
        <f t="shared" si="40"/>
        <v>0</v>
      </c>
      <c r="I46" s="62">
        <f>SUM(L$5:L$5)</f>
        <v>0</v>
      </c>
      <c r="J46" s="62" t="e" cm="1">
        <f t="array" ref="J46">K46+L46+MAX(0,-R45)*IFERROR(SUMPRODUCT(IF('2. Investicijos'!$N$5:$N$5&gt;('2. Investicijos'!$H$5:$H$5*IF('2. Investicijos'!$G$5:$G$5&lt;=35,30%,40%)),'2. Investicijos'!$N$5:$N$5-('2. Investicijos'!$H$5:$H$5*IF('2. Investicijos'!$G$5:$G$5&lt;=35,30%,40%)),0),'2. Investicijos'!$O$5:$O$5/100)/SUM(IF('2. Investicijos'!$N$5:$N$5&gt;('2. Investicijos'!$H$5:$H$5*IF('2. Investicijos'!$G$5:$G$5&lt;=35,30%,40%)),'2. Investicijos'!$N$5:$N$5-('2. Investicijos'!$H$5:$H$5*IF('2. Investicijos'!$G$5:$G$5&lt;=35,30%,40%)),0)),0)</f>
        <v>#VALUE!</v>
      </c>
      <c r="K46" s="62">
        <f>SUM(AF$5:AF$5)</f>
        <v>0</v>
      </c>
      <c r="L46" s="62">
        <f>SUM(V$5:V$5)</f>
        <v>0</v>
      </c>
      <c r="M46" s="62">
        <f>SUM(AP$5:AP$5)</f>
        <v>0</v>
      </c>
      <c r="N46" s="62">
        <f>'3. Finansinės prielaidos'!I30+M46</f>
        <v>0</v>
      </c>
      <c r="O46" s="62">
        <f>'3. Finansinės prielaidos'!I31</f>
        <v>0</v>
      </c>
      <c r="P46" s="62">
        <f>'3. Finansinės prielaidos'!I32</f>
        <v>0</v>
      </c>
      <c r="Q46" s="62" t="e">
        <f t="shared" si="41"/>
        <v>#VALUE!</v>
      </c>
      <c r="R46" s="62" t="e">
        <f>R45+('3. Finansinės prielaidos'!I31-'3. Finansinės prielaidos'!H31)+Q46</f>
        <v>#VALUE!</v>
      </c>
      <c r="S46" s="62" t="e" cm="1">
        <f t="array" ref="S46">SUMPRODUCT(--(2032&gt;'2. Investicijos'!$F$5:$F$5),--(2032&lt;='2. Investicijos'!$F$5:$F$5+'2. Investicijos'!$G$5:$G$5),IFERROR(('2. Investicijos'!$M$5:$M$5+IF('2. Investicijos'!$N$5:$N$5&gt;('2. Investicijos'!$H$5:$H$5*IF('2. Investicijos'!$G$5:$G$5&lt;=35,30%,40%)),'2. Investicijos'!$N$5:$N$5-('2. Investicijos'!$H$5:$H$5*IF('2. Investicijos'!$G$5:$G$5&lt;=35,30%,40%)),0)+('2. Investicijos'!$H$5:$H$5*IF('2. Investicijos'!$G$5:$G$5&lt;=35,30%,40%)))/'2. Investicijos'!$G$5:$G$5,0))+SUMPRODUCT(--(2032&gt;'2. Investicijos'!$F$5:$F$5),--(2032&lt;='2. Investicijos'!$F$5:$F$5+'2. Investicijos'!$G$5:$G$5),IFERROR(('2. Investicijos'!$M$5:$M$5+IF('2. Investicijos'!$N$5:$N$5&gt;('2. Investicijos'!$H$5:$H$5*IF('2. Investicijos'!$G$5:$G$5&lt;=35,30%,40%)),'2. Investicijos'!$N$5:$N$5-('2. Investicijos'!$H$5:$H$5*IF('2. Investicijos'!$G$5:$G$5&lt;=35,30%,40%)),0))*(1-((2032-'2. Investicijos'!$F$5:$F$5)-1)/'2. Investicijos'!$G$5:$G$5),0)*'5. 0% scenarijus'!$C$5)</f>
        <v>#VALUE!</v>
      </c>
      <c r="T46" s="62" t="e">
        <f>'3. Finansinės prielaidos'!I29+S46+G46</f>
        <v>#VALUE!</v>
      </c>
      <c r="U46" s="62" t="e">
        <f t="shared" si="42"/>
        <v>#VALUE!</v>
      </c>
      <c r="V46" s="72" t="e">
        <f t="shared" si="43"/>
        <v>#VALUE!</v>
      </c>
      <c r="W46" s="72" t="e">
        <f t="shared" si="44"/>
        <v>#VALUE!</v>
      </c>
      <c r="X46" s="57" t="e">
        <f t="shared" si="45"/>
        <v>#VALUE!</v>
      </c>
      <c r="Y46" s="57" t="e">
        <f t="shared" si="46"/>
        <v>#VALUE!</v>
      </c>
      <c r="Z46" s="57"/>
      <c r="AA46" s="57"/>
      <c r="AB46" s="57"/>
      <c r="AC46" s="57"/>
      <c r="AD46" s="57"/>
      <c r="AE46" s="57"/>
      <c r="AF46" s="57"/>
      <c r="AG46" s="57"/>
      <c r="AH46" s="57"/>
      <c r="AI46" s="57"/>
      <c r="AJ46" s="57"/>
      <c r="AK46" s="57"/>
      <c r="AL46" s="57"/>
      <c r="AM46" s="57"/>
      <c r="AN46" s="57"/>
      <c r="AO46" s="57"/>
      <c r="AP46" s="57"/>
      <c r="AQ46" s="57"/>
      <c r="AR46" s="57"/>
      <c r="AS46" s="57"/>
    </row>
    <row r="47" spans="1:45">
      <c r="A47" s="57">
        <v>1</v>
      </c>
      <c r="B47" s="57">
        <v>2033</v>
      </c>
      <c r="C47" s="62">
        <f>SUM('4. Metinis CAPEX'!M$9:M$9)</f>
        <v>0</v>
      </c>
      <c r="D47" s="62" cm="1">
        <f t="array" ref="D47">SUMPRODUCT('4. Metinis CAPEX'!M$9:M$9,IFERROR('2. Investicijos'!$N$5:$N$5/'2. Investicijos'!$H$5:$H$5,0))</f>
        <v>0</v>
      </c>
      <c r="E47" s="62" cm="1">
        <f t="array" ref="E47">SUMPRODUCT('4. Metinis CAPEX'!M$9:M$9,IFERROR(('2. Investicijos'!$I$5:$I$5+'2. Investicijos'!$J$5:$J$5+'2. Investicijos'!$K$5:$K$5+'2. Investicijos'!$L$5:$L$5)/'2. Investicijos'!$H$5:$H$5,0))</f>
        <v>0</v>
      </c>
      <c r="F47" s="62" cm="1">
        <f t="array" ref="F47">SUM('2. Investicijos'!$H$5:$H$5*IF('2. Investicijos'!$G$5:$G$5&lt;=35,30%,40%))</f>
        <v>0</v>
      </c>
      <c r="G47" s="62" cm="1">
        <f t="array" ref="G47">IF(AND(2033&gt;=2026,2033&lt;2026+'6. Aprašo scenarijus'!$C$4),SUM('2. Investicijos'!$H$5:$H$5*IF('2. Investicijos'!$G$5:$G$5&lt;=35,30%,40%))/'6. Aprašo scenarijus'!$C$4,0)</f>
        <v>0</v>
      </c>
      <c r="H47" s="62">
        <f t="shared" si="40"/>
        <v>0</v>
      </c>
      <c r="I47" s="62">
        <f>SUM(M$5:M$5)</f>
        <v>0</v>
      </c>
      <c r="J47" s="62" t="e" cm="1">
        <f t="array" ref="J47">K47+L47+MAX(0,-R46)*IFERROR(SUMPRODUCT(IF('2. Investicijos'!$N$5:$N$5&gt;('2. Investicijos'!$H$5:$H$5*IF('2. Investicijos'!$G$5:$G$5&lt;=35,30%,40%)),'2. Investicijos'!$N$5:$N$5-('2. Investicijos'!$H$5:$H$5*IF('2. Investicijos'!$G$5:$G$5&lt;=35,30%,40%)),0),'2. Investicijos'!$O$5:$O$5/100)/SUM(IF('2. Investicijos'!$N$5:$N$5&gt;('2. Investicijos'!$H$5:$H$5*IF('2. Investicijos'!$G$5:$G$5&lt;=35,30%,40%)),'2. Investicijos'!$N$5:$N$5-('2. Investicijos'!$H$5:$H$5*IF('2. Investicijos'!$G$5:$G$5&lt;=35,30%,40%)),0)),0)</f>
        <v>#VALUE!</v>
      </c>
      <c r="K47" s="62">
        <f>SUM(AG$5:AG$5)</f>
        <v>0</v>
      </c>
      <c r="L47" s="62">
        <f>SUM(W$5:W$5)</f>
        <v>0</v>
      </c>
      <c r="M47" s="62">
        <f>SUM(AQ$5:AQ$5)</f>
        <v>0</v>
      </c>
      <c r="N47" s="62">
        <f>'3. Finansinės prielaidos'!J30+M47</f>
        <v>0</v>
      </c>
      <c r="O47" s="62">
        <f>'3. Finansinės prielaidos'!J31</f>
        <v>0</v>
      </c>
      <c r="P47" s="62">
        <f>'3. Finansinės prielaidos'!J32</f>
        <v>0</v>
      </c>
      <c r="Q47" s="62" t="e">
        <f t="shared" si="41"/>
        <v>#VALUE!</v>
      </c>
      <c r="R47" s="62" t="e">
        <f>R46+('3. Finansinės prielaidos'!J31-'3. Finansinės prielaidos'!I31)+Q47</f>
        <v>#VALUE!</v>
      </c>
      <c r="S47" s="62" t="e" cm="1">
        <f t="array" ref="S47">SUMPRODUCT(--(2033&gt;'2. Investicijos'!$F$5:$F$5),--(2033&lt;='2. Investicijos'!$F$5:$F$5+'2. Investicijos'!$G$5:$G$5),IFERROR(('2. Investicijos'!$M$5:$M$5+IF('2. Investicijos'!$N$5:$N$5&gt;('2. Investicijos'!$H$5:$H$5*IF('2. Investicijos'!$G$5:$G$5&lt;=35,30%,40%)),'2. Investicijos'!$N$5:$N$5-('2. Investicijos'!$H$5:$H$5*IF('2. Investicijos'!$G$5:$G$5&lt;=35,30%,40%)),0)+('2. Investicijos'!$H$5:$H$5*IF('2. Investicijos'!$G$5:$G$5&lt;=35,30%,40%)))/'2. Investicijos'!$G$5:$G$5,0))+SUMPRODUCT(--(2033&gt;'2. Investicijos'!$F$5:$F$5),--(2033&lt;='2. Investicijos'!$F$5:$F$5+'2. Investicijos'!$G$5:$G$5),IFERROR(('2. Investicijos'!$M$5:$M$5+IF('2. Investicijos'!$N$5:$N$5&gt;('2. Investicijos'!$H$5:$H$5*IF('2. Investicijos'!$G$5:$G$5&lt;=35,30%,40%)),'2. Investicijos'!$N$5:$N$5-('2. Investicijos'!$H$5:$H$5*IF('2. Investicijos'!$G$5:$G$5&lt;=35,30%,40%)),0))*(1-((2033-'2. Investicijos'!$F$5:$F$5)-1)/'2. Investicijos'!$G$5:$G$5),0)*'5. 0% scenarijus'!$C$5)</f>
        <v>#VALUE!</v>
      </c>
      <c r="T47" s="62" t="e">
        <f>'3. Finansinės prielaidos'!J29+S47+G47</f>
        <v>#VALUE!</v>
      </c>
      <c r="U47" s="62" t="e">
        <f t="shared" si="42"/>
        <v>#VALUE!</v>
      </c>
      <c r="V47" s="72" t="e">
        <f t="shared" si="43"/>
        <v>#VALUE!</v>
      </c>
      <c r="W47" s="72" t="e">
        <f t="shared" si="44"/>
        <v>#VALUE!</v>
      </c>
      <c r="X47" s="57" t="e">
        <f t="shared" si="45"/>
        <v>#VALUE!</v>
      </c>
      <c r="Y47" s="57" t="e">
        <f t="shared" si="46"/>
        <v>#VALUE!</v>
      </c>
      <c r="Z47" s="57"/>
      <c r="AA47" s="57"/>
      <c r="AB47" s="57"/>
      <c r="AC47" s="57"/>
      <c r="AD47" s="57"/>
      <c r="AE47" s="57"/>
      <c r="AF47" s="57"/>
      <c r="AG47" s="57"/>
      <c r="AH47" s="57"/>
      <c r="AI47" s="57"/>
      <c r="AJ47" s="57"/>
      <c r="AK47" s="57"/>
      <c r="AL47" s="57"/>
      <c r="AM47" s="57"/>
      <c r="AN47" s="57"/>
      <c r="AO47" s="57"/>
      <c r="AP47" s="57"/>
      <c r="AQ47" s="57"/>
      <c r="AR47" s="57"/>
      <c r="AS47" s="57"/>
    </row>
    <row r="48" spans="1:45">
      <c r="A48" s="57">
        <v>1</v>
      </c>
      <c r="B48" s="57">
        <v>2034</v>
      </c>
      <c r="C48" s="62">
        <f>SUM('4. Metinis CAPEX'!N$9:N$9)</f>
        <v>0</v>
      </c>
      <c r="D48" s="62" cm="1">
        <f t="array" ref="D48">SUMPRODUCT('4. Metinis CAPEX'!N$9:N$9,IFERROR('2. Investicijos'!$N$5:$N$5/'2. Investicijos'!$H$5:$H$5,0))</f>
        <v>0</v>
      </c>
      <c r="E48" s="62" cm="1">
        <f t="array" ref="E48">SUMPRODUCT('4. Metinis CAPEX'!N$9:N$9,IFERROR(('2. Investicijos'!$I$5:$I$5+'2. Investicijos'!$J$5:$J$5+'2. Investicijos'!$K$5:$K$5+'2. Investicijos'!$L$5:$L$5)/'2. Investicijos'!$H$5:$H$5,0))</f>
        <v>0</v>
      </c>
      <c r="F48" s="62" cm="1">
        <f t="array" ref="F48">SUM('2. Investicijos'!$H$5:$H$5*IF('2. Investicijos'!$G$5:$G$5&lt;=35,30%,40%))</f>
        <v>0</v>
      </c>
      <c r="G48" s="62" cm="1">
        <f t="array" ref="G48">IF(AND(2034&gt;=2026,2034&lt;2026+'6. Aprašo scenarijus'!$C$4),SUM('2. Investicijos'!$H$5:$H$5*IF('2. Investicijos'!$G$5:$G$5&lt;=35,30%,40%))/'6. Aprašo scenarijus'!$C$4,0)</f>
        <v>0</v>
      </c>
      <c r="H48" s="62">
        <f t="shared" si="40"/>
        <v>0</v>
      </c>
      <c r="I48" s="62">
        <f>SUM(N$5:N$5)</f>
        <v>0</v>
      </c>
      <c r="J48" s="62" t="e" cm="1">
        <f t="array" ref="J48">K48+L48+MAX(0,-R47)*IFERROR(SUMPRODUCT(IF('2. Investicijos'!$N$5:$N$5&gt;('2. Investicijos'!$H$5:$H$5*IF('2. Investicijos'!$G$5:$G$5&lt;=35,30%,40%)),'2. Investicijos'!$N$5:$N$5-('2. Investicijos'!$H$5:$H$5*IF('2. Investicijos'!$G$5:$G$5&lt;=35,30%,40%)),0),'2. Investicijos'!$O$5:$O$5/100)/SUM(IF('2. Investicijos'!$N$5:$N$5&gt;('2. Investicijos'!$H$5:$H$5*IF('2. Investicijos'!$G$5:$G$5&lt;=35,30%,40%)),'2. Investicijos'!$N$5:$N$5-('2. Investicijos'!$H$5:$H$5*IF('2. Investicijos'!$G$5:$G$5&lt;=35,30%,40%)),0)),0)</f>
        <v>#VALUE!</v>
      </c>
      <c r="K48" s="62">
        <f>SUM(AH$5:AH$5)</f>
        <v>0</v>
      </c>
      <c r="L48" s="62">
        <f>SUM(X$5:X$5)</f>
        <v>0</v>
      </c>
      <c r="M48" s="62">
        <f>SUM(AR$5:AR$5)</f>
        <v>0</v>
      </c>
      <c r="N48" s="62">
        <f>'3. Finansinės prielaidos'!K30+M48</f>
        <v>0</v>
      </c>
      <c r="O48" s="62">
        <f>'3. Finansinės prielaidos'!K31</f>
        <v>0</v>
      </c>
      <c r="P48" s="62">
        <f>'3. Finansinės prielaidos'!K32</f>
        <v>0</v>
      </c>
      <c r="Q48" s="62" t="e">
        <f t="shared" si="41"/>
        <v>#VALUE!</v>
      </c>
      <c r="R48" s="62" t="e">
        <f>R47+('3. Finansinės prielaidos'!K31-'3. Finansinės prielaidos'!J31)+Q48</f>
        <v>#VALUE!</v>
      </c>
      <c r="S48" s="62" t="e" cm="1">
        <f t="array" ref="S48">SUMPRODUCT(--(2034&gt;'2. Investicijos'!$F$5:$F$5),--(2034&lt;='2. Investicijos'!$F$5:$F$5+'2. Investicijos'!$G$5:$G$5),IFERROR(('2. Investicijos'!$M$5:$M$5+IF('2. Investicijos'!$N$5:$N$5&gt;('2. Investicijos'!$H$5:$H$5*IF('2. Investicijos'!$G$5:$G$5&lt;=35,30%,40%)),'2. Investicijos'!$N$5:$N$5-('2. Investicijos'!$H$5:$H$5*IF('2. Investicijos'!$G$5:$G$5&lt;=35,30%,40%)),0)+('2. Investicijos'!$H$5:$H$5*IF('2. Investicijos'!$G$5:$G$5&lt;=35,30%,40%)))/'2. Investicijos'!$G$5:$G$5,0))+SUMPRODUCT(--(2034&gt;'2. Investicijos'!$F$5:$F$5),--(2034&lt;='2. Investicijos'!$F$5:$F$5+'2. Investicijos'!$G$5:$G$5),IFERROR(('2. Investicijos'!$M$5:$M$5+IF('2. Investicijos'!$N$5:$N$5&gt;('2. Investicijos'!$H$5:$H$5*IF('2. Investicijos'!$G$5:$G$5&lt;=35,30%,40%)),'2. Investicijos'!$N$5:$N$5-('2. Investicijos'!$H$5:$H$5*IF('2. Investicijos'!$G$5:$G$5&lt;=35,30%,40%)),0))*(1-((2034-'2. Investicijos'!$F$5:$F$5)-1)/'2. Investicijos'!$G$5:$G$5),0)*'5. 0% scenarijus'!$C$5)</f>
        <v>#VALUE!</v>
      </c>
      <c r="T48" s="62" t="e">
        <f>'3. Finansinės prielaidos'!K29+S48+G48</f>
        <v>#VALUE!</v>
      </c>
      <c r="U48" s="62" t="e">
        <f t="shared" si="42"/>
        <v>#VALUE!</v>
      </c>
      <c r="V48" s="72" t="e">
        <f t="shared" si="43"/>
        <v>#VALUE!</v>
      </c>
      <c r="W48" s="72" t="e">
        <f t="shared" si="44"/>
        <v>#VALUE!</v>
      </c>
      <c r="X48" s="57" t="e">
        <f t="shared" si="45"/>
        <v>#VALUE!</v>
      </c>
      <c r="Y48" s="57" t="e">
        <f t="shared" si="46"/>
        <v>#VALUE!</v>
      </c>
      <c r="Z48" s="57"/>
      <c r="AA48" s="57"/>
      <c r="AB48" s="57"/>
      <c r="AC48" s="57"/>
      <c r="AD48" s="57"/>
      <c r="AE48" s="57"/>
      <c r="AF48" s="57"/>
      <c r="AG48" s="57"/>
      <c r="AH48" s="57"/>
      <c r="AI48" s="57"/>
      <c r="AJ48" s="57"/>
      <c r="AK48" s="57"/>
      <c r="AL48" s="57"/>
      <c r="AM48" s="57"/>
      <c r="AN48" s="57"/>
      <c r="AO48" s="57"/>
      <c r="AP48" s="57"/>
      <c r="AQ48" s="57"/>
      <c r="AR48" s="57"/>
      <c r="AS48" s="57"/>
    </row>
    <row r="49" spans="1:45">
      <c r="A49" s="57">
        <v>1</v>
      </c>
      <c r="B49" s="57">
        <v>2035</v>
      </c>
      <c r="C49" s="62">
        <f>SUM('4. Metinis CAPEX'!O$9:O$9)</f>
        <v>0</v>
      </c>
      <c r="D49" s="62" cm="1">
        <f t="array" ref="D49">SUMPRODUCT('4. Metinis CAPEX'!O$9:O$9,IFERROR('2. Investicijos'!$N$5:$N$5/'2. Investicijos'!$H$5:$H$5,0))</f>
        <v>0</v>
      </c>
      <c r="E49" s="62" cm="1">
        <f t="array" ref="E49">SUMPRODUCT('4. Metinis CAPEX'!O$9:O$9,IFERROR(('2. Investicijos'!$I$5:$I$5+'2. Investicijos'!$J$5:$J$5+'2. Investicijos'!$K$5:$K$5+'2. Investicijos'!$L$5:$L$5)/'2. Investicijos'!$H$5:$H$5,0))</f>
        <v>0</v>
      </c>
      <c r="F49" s="62" cm="1">
        <f t="array" ref="F49">SUM('2. Investicijos'!$H$5:$H$5*IF('2. Investicijos'!$G$5:$G$5&lt;=35,30%,40%))</f>
        <v>0</v>
      </c>
      <c r="G49" s="62" cm="1">
        <f t="array" ref="G49">IF(AND(2035&gt;=2026,2035&lt;2026+'6. Aprašo scenarijus'!$C$4),SUM('2. Investicijos'!$H$5:$H$5*IF('2. Investicijos'!$G$5:$G$5&lt;=35,30%,40%))/'6. Aprašo scenarijus'!$C$4,0)</f>
        <v>0</v>
      </c>
      <c r="H49" s="62">
        <f t="shared" si="40"/>
        <v>0</v>
      </c>
      <c r="I49" s="62">
        <f>SUM(O$5:O$5)</f>
        <v>0</v>
      </c>
      <c r="J49" s="62" t="e" cm="1">
        <f t="array" ref="J49">K49+L49+MAX(0,-R48)*IFERROR(SUMPRODUCT(IF('2. Investicijos'!$N$5:$N$5&gt;('2. Investicijos'!$H$5:$H$5*IF('2. Investicijos'!$G$5:$G$5&lt;=35,30%,40%)),'2. Investicijos'!$N$5:$N$5-('2. Investicijos'!$H$5:$H$5*IF('2. Investicijos'!$G$5:$G$5&lt;=35,30%,40%)),0),'2. Investicijos'!$O$5:$O$5/100)/SUM(IF('2. Investicijos'!$N$5:$N$5&gt;('2. Investicijos'!$H$5:$H$5*IF('2. Investicijos'!$G$5:$G$5&lt;=35,30%,40%)),'2. Investicijos'!$N$5:$N$5-('2. Investicijos'!$H$5:$H$5*IF('2. Investicijos'!$G$5:$G$5&lt;=35,30%,40%)),0)),0)</f>
        <v>#VALUE!</v>
      </c>
      <c r="K49" s="62">
        <f>SUM(AI$5:AI$5)</f>
        <v>0</v>
      </c>
      <c r="L49" s="62">
        <f>SUM(Y$5:Y$5)</f>
        <v>0</v>
      </c>
      <c r="M49" s="62">
        <f>SUM(AS$5:AS$5)</f>
        <v>0</v>
      </c>
      <c r="N49" s="62">
        <f>'3. Finansinės prielaidos'!L30+M49</f>
        <v>0</v>
      </c>
      <c r="O49" s="62">
        <f>'3. Finansinės prielaidos'!L31</f>
        <v>0</v>
      </c>
      <c r="P49" s="62">
        <f>'3. Finansinės prielaidos'!L32</f>
        <v>0</v>
      </c>
      <c r="Q49" s="62" t="e">
        <f t="shared" si="41"/>
        <v>#VALUE!</v>
      </c>
      <c r="R49" s="62" t="e">
        <f>R48+('3. Finansinės prielaidos'!L31-'3. Finansinės prielaidos'!K31)+Q49</f>
        <v>#VALUE!</v>
      </c>
      <c r="S49" s="62" t="e" cm="1">
        <f t="array" ref="S49">SUMPRODUCT(--(2035&gt;'2. Investicijos'!$F$5:$F$5),--(2035&lt;='2. Investicijos'!$F$5:$F$5+'2. Investicijos'!$G$5:$G$5),IFERROR(('2. Investicijos'!$M$5:$M$5+IF('2. Investicijos'!$N$5:$N$5&gt;('2. Investicijos'!$H$5:$H$5*IF('2. Investicijos'!$G$5:$G$5&lt;=35,30%,40%)),'2. Investicijos'!$N$5:$N$5-('2. Investicijos'!$H$5:$H$5*IF('2. Investicijos'!$G$5:$G$5&lt;=35,30%,40%)),0)+('2. Investicijos'!$H$5:$H$5*IF('2. Investicijos'!$G$5:$G$5&lt;=35,30%,40%)))/'2. Investicijos'!$G$5:$G$5,0))+SUMPRODUCT(--(2035&gt;'2. Investicijos'!$F$5:$F$5),--(2035&lt;='2. Investicijos'!$F$5:$F$5+'2. Investicijos'!$G$5:$G$5),IFERROR(('2. Investicijos'!$M$5:$M$5+IF('2. Investicijos'!$N$5:$N$5&gt;('2. Investicijos'!$H$5:$H$5*IF('2. Investicijos'!$G$5:$G$5&lt;=35,30%,40%)),'2. Investicijos'!$N$5:$N$5-('2. Investicijos'!$H$5:$H$5*IF('2. Investicijos'!$G$5:$G$5&lt;=35,30%,40%)),0))*(1-((2035-'2. Investicijos'!$F$5:$F$5)-1)/'2. Investicijos'!$G$5:$G$5),0)*'5. 0% scenarijus'!$C$5)</f>
        <v>#VALUE!</v>
      </c>
      <c r="T49" s="62" t="e">
        <f>'3. Finansinės prielaidos'!L29+S49+G49</f>
        <v>#VALUE!</v>
      </c>
      <c r="U49" s="62" t="e">
        <f t="shared" si="42"/>
        <v>#VALUE!</v>
      </c>
      <c r="V49" s="72" t="e">
        <f t="shared" si="43"/>
        <v>#VALUE!</v>
      </c>
      <c r="W49" s="72" t="e">
        <f t="shared" si="44"/>
        <v>#VALUE!</v>
      </c>
      <c r="X49" s="57" t="e">
        <f t="shared" si="45"/>
        <v>#VALUE!</v>
      </c>
      <c r="Y49" s="57" t="e">
        <f t="shared" si="46"/>
        <v>#VALUE!</v>
      </c>
      <c r="Z49" s="57"/>
      <c r="AA49" s="57"/>
      <c r="AB49" s="57"/>
      <c r="AC49" s="57"/>
      <c r="AD49" s="57"/>
      <c r="AE49" s="57"/>
      <c r="AF49" s="57"/>
      <c r="AG49" s="57"/>
      <c r="AH49" s="57"/>
      <c r="AI49" s="57"/>
      <c r="AJ49" s="57"/>
      <c r="AK49" s="57"/>
      <c r="AL49" s="57"/>
      <c r="AM49" s="57"/>
      <c r="AN49" s="57"/>
      <c r="AO49" s="57"/>
      <c r="AP49" s="57"/>
      <c r="AQ49" s="57"/>
      <c r="AR49" s="57"/>
      <c r="AS49" s="57"/>
    </row>
    <row r="50" spans="1:45">
      <c r="A50" s="57">
        <v>2</v>
      </c>
      <c r="B50" s="57">
        <v>2026</v>
      </c>
      <c r="C50" s="62">
        <f>SUM('4. Metinis CAPEX'!F$9:F$10)</f>
        <v>0</v>
      </c>
      <c r="D50" s="62" cm="1">
        <f t="array" ref="D50">SUMPRODUCT('4. Metinis CAPEX'!F$9:F$10,IFERROR('2. Investicijos'!$N$5:$N$6/'2. Investicijos'!$H$5:$H$6,0))</f>
        <v>0</v>
      </c>
      <c r="E50" s="62" cm="1">
        <f t="array" ref="E50">SUMPRODUCT('4. Metinis CAPEX'!F$9:F$10,IFERROR(('2. Investicijos'!$I$5:$I$6+'2. Investicijos'!$J$5:$J$6+'2. Investicijos'!$K$5:$K$6+'2. Investicijos'!$L$5:$L$6)/'2. Investicijos'!$H$5:$H$6,0))</f>
        <v>0</v>
      </c>
      <c r="F50" s="62" cm="1">
        <f t="array" ref="F50">SUM('2. Investicijos'!$H$5:$H$6*IF('2. Investicijos'!$G$5:$G$6&lt;=35,30%,40%))</f>
        <v>0</v>
      </c>
      <c r="G50" s="62" cm="1">
        <f t="array" ref="G50">IF(AND(2026&gt;=2026,2026&lt;2026+'6. Aprašo scenarijus'!$C$4),SUM('2. Investicijos'!$H$5:$H$6*IF('2. Investicijos'!$G$5:$G$6&lt;=35,30%,40%))/'6. Aprašo scenarijus'!$C$4,0)</f>
        <v>0</v>
      </c>
      <c r="H50" s="62">
        <f t="shared" si="40"/>
        <v>0</v>
      </c>
      <c r="I50" s="62">
        <f>SUM(F$5:F$6)</f>
        <v>0</v>
      </c>
      <c r="J50" s="62">
        <f>0</f>
        <v>0</v>
      </c>
      <c r="K50" s="62">
        <f>SUM(Z$5:Z$6)</f>
        <v>0</v>
      </c>
      <c r="L50" s="62">
        <f>SUM(P$5:P$6)</f>
        <v>0</v>
      </c>
      <c r="M50" s="62">
        <f>SUM(AJ$5:AJ$6)</f>
        <v>0</v>
      </c>
      <c r="N50" s="62">
        <f>'3. Finansinės prielaidos'!C30+M50</f>
        <v>0</v>
      </c>
      <c r="O50" s="62">
        <f>'3. Finansinės prielaidos'!C31</f>
        <v>0</v>
      </c>
      <c r="P50" s="62">
        <f>'3. Finansinės prielaidos'!C32</f>
        <v>0</v>
      </c>
      <c r="Q50" s="62" t="e">
        <f t="shared" si="41"/>
        <v>#VALUE!</v>
      </c>
      <c r="R50" s="62" t="e">
        <f>O50+Q50</f>
        <v>#VALUE!</v>
      </c>
      <c r="S50" s="62" t="e" cm="1">
        <f t="array" ref="S50">SUMPRODUCT(--(2026&gt;'2. Investicijos'!$F$5:$F$6),--(2026&lt;='2. Investicijos'!$F$5:$F$6+'2. Investicijos'!$G$5:$G$6),IFERROR(('2. Investicijos'!$M$5:$M$6+IF('2. Investicijos'!$N$5:$N$6&gt;('2. Investicijos'!$H$5:$H$6*IF('2. Investicijos'!$G$5:$G$6&lt;=35,30%,40%)),'2. Investicijos'!$N$5:$N$6-('2. Investicijos'!$H$5:$H$6*IF('2. Investicijos'!$G$5:$G$6&lt;=35,30%,40%)),0)+('2. Investicijos'!$H$5:$H$6*IF('2. Investicijos'!$G$5:$G$6&lt;=35,30%,40%)))/'2. Investicijos'!$G$5:$G$6,0))+SUMPRODUCT(--(2026&gt;'2. Investicijos'!$F$5:$F$6),--(2026&lt;='2. Investicijos'!$F$5:$F$6+'2. Investicijos'!$G$5:$G$6),IFERROR(('2. Investicijos'!$M$5:$M$6+IF('2. Investicijos'!$N$5:$N$6&gt;('2. Investicijos'!$H$5:$H$6*IF('2. Investicijos'!$G$5:$G$6&lt;=35,30%,40%)),'2. Investicijos'!$N$5:$N$6-('2. Investicijos'!$H$5:$H$6*IF('2. Investicijos'!$G$5:$G$6&lt;=35,30%,40%)),0))*(1-((2026-'2. Investicijos'!$F$5:$F$6)-1)/'2. Investicijos'!$G$5:$G$6),0)*'5. 0% scenarijus'!$C$5)</f>
        <v>#VALUE!</v>
      </c>
      <c r="T50" s="62" t="e">
        <f>'3. Finansinės prielaidos'!C29+S50+G50</f>
        <v>#VALUE!</v>
      </c>
      <c r="U50" s="62" t="e">
        <f t="shared" si="42"/>
        <v>#VALUE!</v>
      </c>
      <c r="V50" s="72" t="e">
        <f t="shared" si="43"/>
        <v>#VALUE!</v>
      </c>
      <c r="W50" s="72" t="e">
        <f t="shared" si="44"/>
        <v>#VALUE!</v>
      </c>
      <c r="X50" s="57" t="e">
        <f t="shared" si="45"/>
        <v>#VALUE!</v>
      </c>
      <c r="Y50" s="57" t="e">
        <f t="shared" si="46"/>
        <v>#VALUE!</v>
      </c>
      <c r="Z50" s="57"/>
      <c r="AA50" s="57"/>
      <c r="AB50" s="57"/>
      <c r="AC50" s="57"/>
      <c r="AD50" s="57"/>
      <c r="AE50" s="57"/>
      <c r="AF50" s="57"/>
      <c r="AG50" s="57"/>
      <c r="AH50" s="57"/>
      <c r="AI50" s="57"/>
      <c r="AJ50" s="57"/>
      <c r="AK50" s="57"/>
      <c r="AL50" s="57"/>
      <c r="AM50" s="57"/>
      <c r="AN50" s="57"/>
      <c r="AO50" s="57"/>
      <c r="AP50" s="57"/>
      <c r="AQ50" s="57"/>
      <c r="AR50" s="57"/>
      <c r="AS50" s="57"/>
    </row>
    <row r="51" spans="1:45">
      <c r="A51" s="57">
        <v>2</v>
      </c>
      <c r="B51" s="57">
        <v>2027</v>
      </c>
      <c r="C51" s="62">
        <f>SUM('4. Metinis CAPEX'!G$9:G$10)</f>
        <v>0</v>
      </c>
      <c r="D51" s="62" cm="1">
        <f t="array" ref="D51">SUMPRODUCT('4. Metinis CAPEX'!G$9:G$10,IFERROR('2. Investicijos'!$N$5:$N$6/'2. Investicijos'!$H$5:$H$6,0))</f>
        <v>0</v>
      </c>
      <c r="E51" s="62" cm="1">
        <f t="array" ref="E51">SUMPRODUCT('4. Metinis CAPEX'!G$9:G$10,IFERROR(('2. Investicijos'!$I$5:$I$6+'2. Investicijos'!$J$5:$J$6+'2. Investicijos'!$K$5:$K$6+'2. Investicijos'!$L$5:$L$6)/'2. Investicijos'!$H$5:$H$6,0))</f>
        <v>0</v>
      </c>
      <c r="F51" s="62" cm="1">
        <f t="array" ref="F51">SUM('2. Investicijos'!$H$5:$H$6*IF('2. Investicijos'!$G$5:$G$6&lt;=35,30%,40%))</f>
        <v>0</v>
      </c>
      <c r="G51" s="62" cm="1">
        <f t="array" ref="G51">IF(AND(2027&gt;=2026,2027&lt;2026+'6. Aprašo scenarijus'!$C$4),SUM('2. Investicijos'!$H$5:$H$6*IF('2. Investicijos'!$G$5:$G$6&lt;=35,30%,40%))/'6. Aprašo scenarijus'!$C$4,0)</f>
        <v>0</v>
      </c>
      <c r="H51" s="62">
        <f t="shared" si="40"/>
        <v>0</v>
      </c>
      <c r="I51" s="62">
        <f>SUM(G$5:G$6)</f>
        <v>0</v>
      </c>
      <c r="J51" s="62" t="e" cm="1">
        <f t="array" ref="J51">K51+L51+MAX(0,-R50)*IFERROR(SUMPRODUCT(IF('2. Investicijos'!$N$5:$N$6&gt;('2. Investicijos'!$H$5:$H$6*IF('2. Investicijos'!$G$5:$G$6&lt;=35,30%,40%)),'2. Investicijos'!$N$5:$N$6-('2. Investicijos'!$H$5:$H$6*IF('2. Investicijos'!$G$5:$G$6&lt;=35,30%,40%)),0),'2. Investicijos'!$O$5:$O$6/100)/SUM(IF('2. Investicijos'!$N$5:$N$6&gt;('2. Investicijos'!$H$5:$H$6*IF('2. Investicijos'!$G$5:$G$6&lt;=35,30%,40%)),'2. Investicijos'!$N$5:$N$6-('2. Investicijos'!$H$5:$H$6*IF('2. Investicijos'!$G$5:$G$6&lt;=35,30%,40%)),0)),0)</f>
        <v>#VALUE!</v>
      </c>
      <c r="K51" s="62">
        <f>SUM(AA$5:AA$6)</f>
        <v>0</v>
      </c>
      <c r="L51" s="62">
        <f>SUM(Q$5:Q$6)</f>
        <v>0</v>
      </c>
      <c r="M51" s="62">
        <f>SUM(AK$5:AK$6)</f>
        <v>0</v>
      </c>
      <c r="N51" s="62">
        <f>'3. Finansinės prielaidos'!D30+M51</f>
        <v>0</v>
      </c>
      <c r="O51" s="62">
        <f>'3. Finansinės prielaidos'!D31</f>
        <v>0</v>
      </c>
      <c r="P51" s="62">
        <f>'3. Finansinės prielaidos'!D32</f>
        <v>0</v>
      </c>
      <c r="Q51" s="62" t="e">
        <f t="shared" si="41"/>
        <v>#VALUE!</v>
      </c>
      <c r="R51" s="62" t="e">
        <f>R50+('3. Finansinės prielaidos'!D31-'3. Finansinės prielaidos'!C31)+Q51</f>
        <v>#VALUE!</v>
      </c>
      <c r="S51" s="62" t="e" cm="1">
        <f t="array" ref="S51">SUMPRODUCT(--(2027&gt;'2. Investicijos'!$F$5:$F$6),--(2027&lt;='2. Investicijos'!$F$5:$F$6+'2. Investicijos'!$G$5:$G$6),IFERROR(('2. Investicijos'!$M$5:$M$6+IF('2. Investicijos'!$N$5:$N$6&gt;('2. Investicijos'!$H$5:$H$6*IF('2. Investicijos'!$G$5:$G$6&lt;=35,30%,40%)),'2. Investicijos'!$N$5:$N$6-('2. Investicijos'!$H$5:$H$6*IF('2. Investicijos'!$G$5:$G$6&lt;=35,30%,40%)),0)+('2. Investicijos'!$H$5:$H$6*IF('2. Investicijos'!$G$5:$G$6&lt;=35,30%,40%)))/'2. Investicijos'!$G$5:$G$6,0))+SUMPRODUCT(--(2027&gt;'2. Investicijos'!$F$5:$F$6),--(2027&lt;='2. Investicijos'!$F$5:$F$6+'2. Investicijos'!$G$5:$G$6),IFERROR(('2. Investicijos'!$M$5:$M$6+IF('2. Investicijos'!$N$5:$N$6&gt;('2. Investicijos'!$H$5:$H$6*IF('2. Investicijos'!$G$5:$G$6&lt;=35,30%,40%)),'2. Investicijos'!$N$5:$N$6-('2. Investicijos'!$H$5:$H$6*IF('2. Investicijos'!$G$5:$G$6&lt;=35,30%,40%)),0))*(1-((2027-'2. Investicijos'!$F$5:$F$6)-1)/'2. Investicijos'!$G$5:$G$6),0)*'5. 0% scenarijus'!$C$5)</f>
        <v>#VALUE!</v>
      </c>
      <c r="T51" s="62" t="e">
        <f>'3. Finansinės prielaidos'!D29+S51+G51</f>
        <v>#VALUE!</v>
      </c>
      <c r="U51" s="62" t="e">
        <f t="shared" si="42"/>
        <v>#VALUE!</v>
      </c>
      <c r="V51" s="72" t="e">
        <f t="shared" si="43"/>
        <v>#VALUE!</v>
      </c>
      <c r="W51" s="72" t="e">
        <f t="shared" si="44"/>
        <v>#VALUE!</v>
      </c>
      <c r="X51" s="57" t="e">
        <f t="shared" si="45"/>
        <v>#VALUE!</v>
      </c>
      <c r="Y51" s="57" t="e">
        <f t="shared" si="46"/>
        <v>#VALUE!</v>
      </c>
      <c r="Z51" s="57"/>
      <c r="AA51" s="57"/>
      <c r="AB51" s="57"/>
      <c r="AC51" s="57"/>
      <c r="AD51" s="57"/>
      <c r="AE51" s="57"/>
      <c r="AF51" s="57"/>
      <c r="AG51" s="57"/>
      <c r="AH51" s="57"/>
      <c r="AI51" s="57"/>
      <c r="AJ51" s="57"/>
      <c r="AK51" s="57"/>
      <c r="AL51" s="57"/>
      <c r="AM51" s="57"/>
      <c r="AN51" s="57"/>
      <c r="AO51" s="57"/>
      <c r="AP51" s="57"/>
      <c r="AQ51" s="57"/>
      <c r="AR51" s="57"/>
      <c r="AS51" s="57"/>
    </row>
    <row r="52" spans="1:45">
      <c r="A52" s="57">
        <v>2</v>
      </c>
      <c r="B52" s="57">
        <v>2028</v>
      </c>
      <c r="C52" s="62">
        <f>SUM('4. Metinis CAPEX'!H$9:H$10)</f>
        <v>0</v>
      </c>
      <c r="D52" s="62" cm="1">
        <f t="array" ref="D52">SUMPRODUCT('4. Metinis CAPEX'!H$9:H$10,IFERROR('2. Investicijos'!$N$5:$N$6/'2. Investicijos'!$H$5:$H$6,0))</f>
        <v>0</v>
      </c>
      <c r="E52" s="62" cm="1">
        <f t="array" ref="E52">SUMPRODUCT('4. Metinis CAPEX'!H$9:H$10,IFERROR(('2. Investicijos'!$I$5:$I$6+'2. Investicijos'!$J$5:$J$6+'2. Investicijos'!$K$5:$K$6+'2. Investicijos'!$L$5:$L$6)/'2. Investicijos'!$H$5:$H$6,0))</f>
        <v>0</v>
      </c>
      <c r="F52" s="62" cm="1">
        <f t="array" ref="F52">SUM('2. Investicijos'!$H$5:$H$6*IF('2. Investicijos'!$G$5:$G$6&lt;=35,30%,40%))</f>
        <v>0</v>
      </c>
      <c r="G52" s="62" cm="1">
        <f t="array" ref="G52">IF(AND(2028&gt;=2026,2028&lt;2026+'6. Aprašo scenarijus'!$C$4),SUM('2. Investicijos'!$H$5:$H$6*IF('2. Investicijos'!$G$5:$G$6&lt;=35,30%,40%))/'6. Aprašo scenarijus'!$C$4,0)</f>
        <v>0</v>
      </c>
      <c r="H52" s="62">
        <f t="shared" si="40"/>
        <v>0</v>
      </c>
      <c r="I52" s="62">
        <f>SUM(H$5:H$6)</f>
        <v>0</v>
      </c>
      <c r="J52" s="62" t="e" cm="1">
        <f t="array" ref="J52">K52+L52+MAX(0,-R51)*IFERROR(SUMPRODUCT(IF('2. Investicijos'!$N$5:$N$6&gt;('2. Investicijos'!$H$5:$H$6*IF('2. Investicijos'!$G$5:$G$6&lt;=35,30%,40%)),'2. Investicijos'!$N$5:$N$6-('2. Investicijos'!$H$5:$H$6*IF('2. Investicijos'!$G$5:$G$6&lt;=35,30%,40%)),0),'2. Investicijos'!$O$5:$O$6/100)/SUM(IF('2. Investicijos'!$N$5:$N$6&gt;('2. Investicijos'!$H$5:$H$6*IF('2. Investicijos'!$G$5:$G$6&lt;=35,30%,40%)),'2. Investicijos'!$N$5:$N$6-('2. Investicijos'!$H$5:$H$6*IF('2. Investicijos'!$G$5:$G$6&lt;=35,30%,40%)),0)),0)</f>
        <v>#VALUE!</v>
      </c>
      <c r="K52" s="62">
        <f>SUM(AB$5:AB$6)</f>
        <v>0</v>
      </c>
      <c r="L52" s="62">
        <f>SUM(R$5:R$6)</f>
        <v>0</v>
      </c>
      <c r="M52" s="62">
        <f>SUM(AL$5:AL$6)</f>
        <v>0</v>
      </c>
      <c r="N52" s="62">
        <f>'3. Finansinės prielaidos'!E30+M52</f>
        <v>0</v>
      </c>
      <c r="O52" s="62">
        <f>'3. Finansinės prielaidos'!E31</f>
        <v>0</v>
      </c>
      <c r="P52" s="62">
        <f>'3. Finansinės prielaidos'!E32</f>
        <v>0</v>
      </c>
      <c r="Q52" s="62" t="e">
        <f t="shared" si="41"/>
        <v>#VALUE!</v>
      </c>
      <c r="R52" s="62" t="e">
        <f>R51+('3. Finansinės prielaidos'!E31-'3. Finansinės prielaidos'!D31)+Q52</f>
        <v>#VALUE!</v>
      </c>
      <c r="S52" s="62" t="e" cm="1">
        <f t="array" ref="S52">SUMPRODUCT(--(2028&gt;'2. Investicijos'!$F$5:$F$6),--(2028&lt;='2. Investicijos'!$F$5:$F$6+'2. Investicijos'!$G$5:$G$6),IFERROR(('2. Investicijos'!$M$5:$M$6+IF('2. Investicijos'!$N$5:$N$6&gt;('2. Investicijos'!$H$5:$H$6*IF('2. Investicijos'!$G$5:$G$6&lt;=35,30%,40%)),'2. Investicijos'!$N$5:$N$6-('2. Investicijos'!$H$5:$H$6*IF('2. Investicijos'!$G$5:$G$6&lt;=35,30%,40%)),0)+('2. Investicijos'!$H$5:$H$6*IF('2. Investicijos'!$G$5:$G$6&lt;=35,30%,40%)))/'2. Investicijos'!$G$5:$G$6,0))+SUMPRODUCT(--(2028&gt;'2. Investicijos'!$F$5:$F$6),--(2028&lt;='2. Investicijos'!$F$5:$F$6+'2. Investicijos'!$G$5:$G$6),IFERROR(('2. Investicijos'!$M$5:$M$6+IF('2. Investicijos'!$N$5:$N$6&gt;('2. Investicijos'!$H$5:$H$6*IF('2. Investicijos'!$G$5:$G$6&lt;=35,30%,40%)),'2. Investicijos'!$N$5:$N$6-('2. Investicijos'!$H$5:$H$6*IF('2. Investicijos'!$G$5:$G$6&lt;=35,30%,40%)),0))*(1-((2028-'2. Investicijos'!$F$5:$F$6)-1)/'2. Investicijos'!$G$5:$G$6),0)*'5. 0% scenarijus'!$C$5)</f>
        <v>#VALUE!</v>
      </c>
      <c r="T52" s="62" t="e">
        <f>'3. Finansinės prielaidos'!E29+S52+G52</f>
        <v>#VALUE!</v>
      </c>
      <c r="U52" s="62" t="e">
        <f t="shared" si="42"/>
        <v>#VALUE!</v>
      </c>
      <c r="V52" s="72" t="e">
        <f t="shared" si="43"/>
        <v>#VALUE!</v>
      </c>
      <c r="W52" s="72" t="e">
        <f t="shared" si="44"/>
        <v>#VALUE!</v>
      </c>
      <c r="X52" s="57" t="e">
        <f t="shared" si="45"/>
        <v>#VALUE!</v>
      </c>
      <c r="Y52" s="57" t="e">
        <f t="shared" si="46"/>
        <v>#VALUE!</v>
      </c>
      <c r="Z52" s="57"/>
      <c r="AA52" s="57"/>
      <c r="AB52" s="57"/>
      <c r="AC52" s="57"/>
      <c r="AD52" s="57"/>
      <c r="AE52" s="57"/>
      <c r="AF52" s="57"/>
      <c r="AG52" s="57"/>
      <c r="AH52" s="57"/>
      <c r="AI52" s="57"/>
      <c r="AJ52" s="57"/>
      <c r="AK52" s="57"/>
      <c r="AL52" s="57"/>
      <c r="AM52" s="57"/>
      <c r="AN52" s="57"/>
      <c r="AO52" s="57"/>
      <c r="AP52" s="57"/>
      <c r="AQ52" s="57"/>
      <c r="AR52" s="57"/>
      <c r="AS52" s="57"/>
    </row>
    <row r="53" spans="1:45">
      <c r="A53" s="57">
        <v>2</v>
      </c>
      <c r="B53" s="57">
        <v>2029</v>
      </c>
      <c r="C53" s="62">
        <f>SUM('4. Metinis CAPEX'!I$9:I$10)</f>
        <v>0</v>
      </c>
      <c r="D53" s="62" cm="1">
        <f t="array" ref="D53">SUMPRODUCT('4. Metinis CAPEX'!I$9:I$10,IFERROR('2. Investicijos'!$N$5:$N$6/'2. Investicijos'!$H$5:$H$6,0))</f>
        <v>0</v>
      </c>
      <c r="E53" s="62" cm="1">
        <f t="array" ref="E53">SUMPRODUCT('4. Metinis CAPEX'!I$9:I$10,IFERROR(('2. Investicijos'!$I$5:$I$6+'2. Investicijos'!$J$5:$J$6+'2. Investicijos'!$K$5:$K$6+'2. Investicijos'!$L$5:$L$6)/'2. Investicijos'!$H$5:$H$6,0))</f>
        <v>0</v>
      </c>
      <c r="F53" s="62" cm="1">
        <f t="array" ref="F53">SUM('2. Investicijos'!$H$5:$H$6*IF('2. Investicijos'!$G$5:$G$6&lt;=35,30%,40%))</f>
        <v>0</v>
      </c>
      <c r="G53" s="62" cm="1">
        <f t="array" ref="G53">IF(AND(2029&gt;=2026,2029&lt;2026+'6. Aprašo scenarijus'!$C$4),SUM('2. Investicijos'!$H$5:$H$6*IF('2. Investicijos'!$G$5:$G$6&lt;=35,30%,40%))/'6. Aprašo scenarijus'!$C$4,0)</f>
        <v>0</v>
      </c>
      <c r="H53" s="62">
        <f t="shared" si="40"/>
        <v>0</v>
      </c>
      <c r="I53" s="62">
        <f>SUM(I$5:I$6)</f>
        <v>0</v>
      </c>
      <c r="J53" s="62" t="e" cm="1">
        <f t="array" ref="J53">K53+L53+MAX(0,-R52)*IFERROR(SUMPRODUCT(IF('2. Investicijos'!$N$5:$N$6&gt;('2. Investicijos'!$H$5:$H$6*IF('2. Investicijos'!$G$5:$G$6&lt;=35,30%,40%)),'2. Investicijos'!$N$5:$N$6-('2. Investicijos'!$H$5:$H$6*IF('2. Investicijos'!$G$5:$G$6&lt;=35,30%,40%)),0),'2. Investicijos'!$O$5:$O$6/100)/SUM(IF('2. Investicijos'!$N$5:$N$6&gt;('2. Investicijos'!$H$5:$H$6*IF('2. Investicijos'!$G$5:$G$6&lt;=35,30%,40%)),'2. Investicijos'!$N$5:$N$6-('2. Investicijos'!$H$5:$H$6*IF('2. Investicijos'!$G$5:$G$6&lt;=35,30%,40%)),0)),0)</f>
        <v>#VALUE!</v>
      </c>
      <c r="K53" s="62">
        <f>SUM(AC$5:AC$6)</f>
        <v>0</v>
      </c>
      <c r="L53" s="62">
        <f>SUM(S$5:S$6)</f>
        <v>0</v>
      </c>
      <c r="M53" s="62">
        <f>SUM(AM$5:AM$6)</f>
        <v>0</v>
      </c>
      <c r="N53" s="62">
        <f>'3. Finansinės prielaidos'!F30+M53</f>
        <v>0</v>
      </c>
      <c r="O53" s="62">
        <f>'3. Finansinės prielaidos'!F31</f>
        <v>0</v>
      </c>
      <c r="P53" s="62">
        <f>'3. Finansinės prielaidos'!F32</f>
        <v>0</v>
      </c>
      <c r="Q53" s="62" t="e">
        <f t="shared" si="41"/>
        <v>#VALUE!</v>
      </c>
      <c r="R53" s="62" t="e">
        <f>R52+('3. Finansinės prielaidos'!F31-'3. Finansinės prielaidos'!E31)+Q53</f>
        <v>#VALUE!</v>
      </c>
      <c r="S53" s="62" t="e" cm="1">
        <f t="array" ref="S53">SUMPRODUCT(--(2029&gt;'2. Investicijos'!$F$5:$F$6),--(2029&lt;='2. Investicijos'!$F$5:$F$6+'2. Investicijos'!$G$5:$G$6),IFERROR(('2. Investicijos'!$M$5:$M$6+IF('2. Investicijos'!$N$5:$N$6&gt;('2. Investicijos'!$H$5:$H$6*IF('2. Investicijos'!$G$5:$G$6&lt;=35,30%,40%)),'2. Investicijos'!$N$5:$N$6-('2. Investicijos'!$H$5:$H$6*IF('2. Investicijos'!$G$5:$G$6&lt;=35,30%,40%)),0)+('2. Investicijos'!$H$5:$H$6*IF('2. Investicijos'!$G$5:$G$6&lt;=35,30%,40%)))/'2. Investicijos'!$G$5:$G$6,0))+SUMPRODUCT(--(2029&gt;'2. Investicijos'!$F$5:$F$6),--(2029&lt;='2. Investicijos'!$F$5:$F$6+'2. Investicijos'!$G$5:$G$6),IFERROR(('2. Investicijos'!$M$5:$M$6+IF('2. Investicijos'!$N$5:$N$6&gt;('2. Investicijos'!$H$5:$H$6*IF('2. Investicijos'!$G$5:$G$6&lt;=35,30%,40%)),'2. Investicijos'!$N$5:$N$6-('2. Investicijos'!$H$5:$H$6*IF('2. Investicijos'!$G$5:$G$6&lt;=35,30%,40%)),0))*(1-((2029-'2. Investicijos'!$F$5:$F$6)-1)/'2. Investicijos'!$G$5:$G$6),0)*'5. 0% scenarijus'!$C$5)</f>
        <v>#VALUE!</v>
      </c>
      <c r="T53" s="62" t="e">
        <f>'3. Finansinės prielaidos'!F29+S53+G53</f>
        <v>#VALUE!</v>
      </c>
      <c r="U53" s="62" t="e">
        <f t="shared" si="42"/>
        <v>#VALUE!</v>
      </c>
      <c r="V53" s="72" t="e">
        <f t="shared" si="43"/>
        <v>#VALUE!</v>
      </c>
      <c r="W53" s="72" t="e">
        <f t="shared" si="44"/>
        <v>#VALUE!</v>
      </c>
      <c r="X53" s="57" t="e">
        <f t="shared" si="45"/>
        <v>#VALUE!</v>
      </c>
      <c r="Y53" s="57" t="e">
        <f t="shared" si="46"/>
        <v>#VALUE!</v>
      </c>
      <c r="Z53" s="57"/>
      <c r="AA53" s="57"/>
      <c r="AB53" s="57"/>
      <c r="AC53" s="57"/>
      <c r="AD53" s="57"/>
      <c r="AE53" s="57"/>
      <c r="AF53" s="57"/>
      <c r="AG53" s="57"/>
      <c r="AH53" s="57"/>
      <c r="AI53" s="57"/>
      <c r="AJ53" s="57"/>
      <c r="AK53" s="57"/>
      <c r="AL53" s="57"/>
      <c r="AM53" s="57"/>
      <c r="AN53" s="57"/>
      <c r="AO53" s="57"/>
      <c r="AP53" s="57"/>
      <c r="AQ53" s="57"/>
      <c r="AR53" s="57"/>
      <c r="AS53" s="57"/>
    </row>
    <row r="54" spans="1:45">
      <c r="A54" s="57">
        <v>2</v>
      </c>
      <c r="B54" s="57">
        <v>2030</v>
      </c>
      <c r="C54" s="62">
        <f>SUM('4. Metinis CAPEX'!J$9:J$10)</f>
        <v>0</v>
      </c>
      <c r="D54" s="62" cm="1">
        <f t="array" ref="D54">SUMPRODUCT('4. Metinis CAPEX'!J$9:J$10,IFERROR('2. Investicijos'!$N$5:$N$6/'2. Investicijos'!$H$5:$H$6,0))</f>
        <v>0</v>
      </c>
      <c r="E54" s="62" cm="1">
        <f t="array" ref="E54">SUMPRODUCT('4. Metinis CAPEX'!J$9:J$10,IFERROR(('2. Investicijos'!$I$5:$I$6+'2. Investicijos'!$J$5:$J$6+'2. Investicijos'!$K$5:$K$6+'2. Investicijos'!$L$5:$L$6)/'2. Investicijos'!$H$5:$H$6,0))</f>
        <v>0</v>
      </c>
      <c r="F54" s="62" cm="1">
        <f t="array" ref="F54">SUM('2. Investicijos'!$H$5:$H$6*IF('2. Investicijos'!$G$5:$G$6&lt;=35,30%,40%))</f>
        <v>0</v>
      </c>
      <c r="G54" s="62" cm="1">
        <f t="array" ref="G54">IF(AND(2030&gt;=2026,2030&lt;2026+'6. Aprašo scenarijus'!$C$4),SUM('2. Investicijos'!$H$5:$H$6*IF('2. Investicijos'!$G$5:$G$6&lt;=35,30%,40%))/'6. Aprašo scenarijus'!$C$4,0)</f>
        <v>0</v>
      </c>
      <c r="H54" s="62">
        <f t="shared" si="40"/>
        <v>0</v>
      </c>
      <c r="I54" s="62">
        <f>SUM(J$5:J$6)</f>
        <v>0</v>
      </c>
      <c r="J54" s="62" t="e" cm="1">
        <f t="array" ref="J54">K54+L54+MAX(0,-R53)*IFERROR(SUMPRODUCT(IF('2. Investicijos'!$N$5:$N$6&gt;('2. Investicijos'!$H$5:$H$6*IF('2. Investicijos'!$G$5:$G$6&lt;=35,30%,40%)),'2. Investicijos'!$N$5:$N$6-('2. Investicijos'!$H$5:$H$6*IF('2. Investicijos'!$G$5:$G$6&lt;=35,30%,40%)),0),'2. Investicijos'!$O$5:$O$6/100)/SUM(IF('2. Investicijos'!$N$5:$N$6&gt;('2. Investicijos'!$H$5:$H$6*IF('2. Investicijos'!$G$5:$G$6&lt;=35,30%,40%)),'2. Investicijos'!$N$5:$N$6-('2. Investicijos'!$H$5:$H$6*IF('2. Investicijos'!$G$5:$G$6&lt;=35,30%,40%)),0)),0)</f>
        <v>#VALUE!</v>
      </c>
      <c r="K54" s="62">
        <f>SUM(AD$5:AD$6)</f>
        <v>0</v>
      </c>
      <c r="L54" s="62">
        <f>SUM(T$5:T$6)</f>
        <v>0</v>
      </c>
      <c r="M54" s="62">
        <f>SUM(AN$5:AN$6)</f>
        <v>0</v>
      </c>
      <c r="N54" s="62">
        <f>'3. Finansinės prielaidos'!G30+M54</f>
        <v>0</v>
      </c>
      <c r="O54" s="62">
        <f>'3. Finansinės prielaidos'!G31</f>
        <v>0</v>
      </c>
      <c r="P54" s="62">
        <f>'3. Finansinės prielaidos'!G32</f>
        <v>0</v>
      </c>
      <c r="Q54" s="62" t="e">
        <f t="shared" si="41"/>
        <v>#VALUE!</v>
      </c>
      <c r="R54" s="62" t="e">
        <f>R53+('3. Finansinės prielaidos'!G31-'3. Finansinės prielaidos'!F31)+Q54</f>
        <v>#VALUE!</v>
      </c>
      <c r="S54" s="62" t="e" cm="1">
        <f t="array" ref="S54">SUMPRODUCT(--(2030&gt;'2. Investicijos'!$F$5:$F$6),--(2030&lt;='2. Investicijos'!$F$5:$F$6+'2. Investicijos'!$G$5:$G$6),IFERROR(('2. Investicijos'!$M$5:$M$6+IF('2. Investicijos'!$N$5:$N$6&gt;('2. Investicijos'!$H$5:$H$6*IF('2. Investicijos'!$G$5:$G$6&lt;=35,30%,40%)),'2. Investicijos'!$N$5:$N$6-('2. Investicijos'!$H$5:$H$6*IF('2. Investicijos'!$G$5:$G$6&lt;=35,30%,40%)),0)+('2. Investicijos'!$H$5:$H$6*IF('2. Investicijos'!$G$5:$G$6&lt;=35,30%,40%)))/'2. Investicijos'!$G$5:$G$6,0))+SUMPRODUCT(--(2030&gt;'2. Investicijos'!$F$5:$F$6),--(2030&lt;='2. Investicijos'!$F$5:$F$6+'2. Investicijos'!$G$5:$G$6),IFERROR(('2. Investicijos'!$M$5:$M$6+IF('2. Investicijos'!$N$5:$N$6&gt;('2. Investicijos'!$H$5:$H$6*IF('2. Investicijos'!$G$5:$G$6&lt;=35,30%,40%)),'2. Investicijos'!$N$5:$N$6-('2. Investicijos'!$H$5:$H$6*IF('2. Investicijos'!$G$5:$G$6&lt;=35,30%,40%)),0))*(1-((2030-'2. Investicijos'!$F$5:$F$6)-1)/'2. Investicijos'!$G$5:$G$6),0)*'5. 0% scenarijus'!$C$5)</f>
        <v>#VALUE!</v>
      </c>
      <c r="T54" s="62" t="e">
        <f>'3. Finansinės prielaidos'!G29+S54+G54</f>
        <v>#VALUE!</v>
      </c>
      <c r="U54" s="62" t="e">
        <f t="shared" si="42"/>
        <v>#VALUE!</v>
      </c>
      <c r="V54" s="72" t="e">
        <f t="shared" si="43"/>
        <v>#VALUE!</v>
      </c>
      <c r="W54" s="72" t="e">
        <f t="shared" si="44"/>
        <v>#VALUE!</v>
      </c>
      <c r="X54" s="57" t="e">
        <f t="shared" si="45"/>
        <v>#VALUE!</v>
      </c>
      <c r="Y54" s="57" t="e">
        <f t="shared" si="46"/>
        <v>#VALUE!</v>
      </c>
      <c r="Z54" s="57"/>
      <c r="AA54" s="57"/>
      <c r="AB54" s="57"/>
      <c r="AC54" s="57"/>
      <c r="AD54" s="57"/>
      <c r="AE54" s="57"/>
      <c r="AF54" s="57"/>
      <c r="AG54" s="57"/>
      <c r="AH54" s="57"/>
      <c r="AI54" s="57"/>
      <c r="AJ54" s="57"/>
      <c r="AK54" s="57"/>
      <c r="AL54" s="57"/>
      <c r="AM54" s="57"/>
      <c r="AN54" s="57"/>
      <c r="AO54" s="57"/>
      <c r="AP54" s="57"/>
      <c r="AQ54" s="57"/>
      <c r="AR54" s="57"/>
      <c r="AS54" s="57"/>
    </row>
    <row r="55" spans="1:45">
      <c r="A55" s="57">
        <v>2</v>
      </c>
      <c r="B55" s="57">
        <v>2031</v>
      </c>
      <c r="C55" s="62">
        <f>SUM('4. Metinis CAPEX'!K$9:K$10)</f>
        <v>0</v>
      </c>
      <c r="D55" s="62" cm="1">
        <f t="array" ref="D55">SUMPRODUCT('4. Metinis CAPEX'!K$9:K$10,IFERROR('2. Investicijos'!$N$5:$N$6/'2. Investicijos'!$H$5:$H$6,0))</f>
        <v>0</v>
      </c>
      <c r="E55" s="62" cm="1">
        <f t="array" ref="E55">SUMPRODUCT('4. Metinis CAPEX'!K$9:K$10,IFERROR(('2. Investicijos'!$I$5:$I$6+'2. Investicijos'!$J$5:$J$6+'2. Investicijos'!$K$5:$K$6+'2. Investicijos'!$L$5:$L$6)/'2. Investicijos'!$H$5:$H$6,0))</f>
        <v>0</v>
      </c>
      <c r="F55" s="62" cm="1">
        <f t="array" ref="F55">SUM('2. Investicijos'!$H$5:$H$6*IF('2. Investicijos'!$G$5:$G$6&lt;=35,30%,40%))</f>
        <v>0</v>
      </c>
      <c r="G55" s="62" cm="1">
        <f t="array" ref="G55">IF(AND(2031&gt;=2026,2031&lt;2026+'6. Aprašo scenarijus'!$C$4),SUM('2. Investicijos'!$H$5:$H$6*IF('2. Investicijos'!$G$5:$G$6&lt;=35,30%,40%))/'6. Aprašo scenarijus'!$C$4,0)</f>
        <v>0</v>
      </c>
      <c r="H55" s="62">
        <f t="shared" si="40"/>
        <v>0</v>
      </c>
      <c r="I55" s="62">
        <f>SUM(K$5:K$6)</f>
        <v>0</v>
      </c>
      <c r="J55" s="62" t="e" cm="1">
        <f t="array" ref="J55">K55+L55+MAX(0,-R54)*IFERROR(SUMPRODUCT(IF('2. Investicijos'!$N$5:$N$6&gt;('2. Investicijos'!$H$5:$H$6*IF('2. Investicijos'!$G$5:$G$6&lt;=35,30%,40%)),'2. Investicijos'!$N$5:$N$6-('2. Investicijos'!$H$5:$H$6*IF('2. Investicijos'!$G$5:$G$6&lt;=35,30%,40%)),0),'2. Investicijos'!$O$5:$O$6/100)/SUM(IF('2. Investicijos'!$N$5:$N$6&gt;('2. Investicijos'!$H$5:$H$6*IF('2. Investicijos'!$G$5:$G$6&lt;=35,30%,40%)),'2. Investicijos'!$N$5:$N$6-('2. Investicijos'!$H$5:$H$6*IF('2. Investicijos'!$G$5:$G$6&lt;=35,30%,40%)),0)),0)</f>
        <v>#VALUE!</v>
      </c>
      <c r="K55" s="62">
        <f>SUM(AE$5:AE$6)</f>
        <v>0</v>
      </c>
      <c r="L55" s="62">
        <f>SUM(U$5:U$6)</f>
        <v>0</v>
      </c>
      <c r="M55" s="62">
        <f>SUM(AO$5:AO$6)</f>
        <v>0</v>
      </c>
      <c r="N55" s="62">
        <f>'3. Finansinės prielaidos'!H30+M55</f>
        <v>0</v>
      </c>
      <c r="O55" s="62">
        <f>'3. Finansinės prielaidos'!H31</f>
        <v>0</v>
      </c>
      <c r="P55" s="62">
        <f>'3. Finansinės prielaidos'!H32</f>
        <v>0</v>
      </c>
      <c r="Q55" s="62" t="e">
        <f t="shared" si="41"/>
        <v>#VALUE!</v>
      </c>
      <c r="R55" s="62" t="e">
        <f>R54+('3. Finansinės prielaidos'!H31-'3. Finansinės prielaidos'!G31)+Q55</f>
        <v>#VALUE!</v>
      </c>
      <c r="S55" s="62" t="e" cm="1">
        <f t="array" ref="S55">SUMPRODUCT(--(2031&gt;'2. Investicijos'!$F$5:$F$6),--(2031&lt;='2. Investicijos'!$F$5:$F$6+'2. Investicijos'!$G$5:$G$6),IFERROR(('2. Investicijos'!$M$5:$M$6+IF('2. Investicijos'!$N$5:$N$6&gt;('2. Investicijos'!$H$5:$H$6*IF('2. Investicijos'!$G$5:$G$6&lt;=35,30%,40%)),'2. Investicijos'!$N$5:$N$6-('2. Investicijos'!$H$5:$H$6*IF('2. Investicijos'!$G$5:$G$6&lt;=35,30%,40%)),0)+('2. Investicijos'!$H$5:$H$6*IF('2. Investicijos'!$G$5:$G$6&lt;=35,30%,40%)))/'2. Investicijos'!$G$5:$G$6,0))+SUMPRODUCT(--(2031&gt;'2. Investicijos'!$F$5:$F$6),--(2031&lt;='2. Investicijos'!$F$5:$F$6+'2. Investicijos'!$G$5:$G$6),IFERROR(('2. Investicijos'!$M$5:$M$6+IF('2. Investicijos'!$N$5:$N$6&gt;('2. Investicijos'!$H$5:$H$6*IF('2. Investicijos'!$G$5:$G$6&lt;=35,30%,40%)),'2. Investicijos'!$N$5:$N$6-('2. Investicijos'!$H$5:$H$6*IF('2. Investicijos'!$G$5:$G$6&lt;=35,30%,40%)),0))*(1-((2031-'2. Investicijos'!$F$5:$F$6)-1)/'2. Investicijos'!$G$5:$G$6),0)*'5. 0% scenarijus'!$C$5)</f>
        <v>#VALUE!</v>
      </c>
      <c r="T55" s="62" t="e">
        <f>'3. Finansinės prielaidos'!H29+S55+G55</f>
        <v>#VALUE!</v>
      </c>
      <c r="U55" s="62" t="e">
        <f t="shared" si="42"/>
        <v>#VALUE!</v>
      </c>
      <c r="V55" s="72" t="e">
        <f t="shared" si="43"/>
        <v>#VALUE!</v>
      </c>
      <c r="W55" s="72" t="e">
        <f t="shared" si="44"/>
        <v>#VALUE!</v>
      </c>
      <c r="X55" s="57" t="e">
        <f t="shared" si="45"/>
        <v>#VALUE!</v>
      </c>
      <c r="Y55" s="57" t="e">
        <f t="shared" si="46"/>
        <v>#VALUE!</v>
      </c>
      <c r="Z55" s="57"/>
      <c r="AA55" s="57"/>
      <c r="AB55" s="57"/>
      <c r="AC55" s="57"/>
      <c r="AD55" s="57"/>
      <c r="AE55" s="57"/>
      <c r="AF55" s="57"/>
      <c r="AG55" s="57"/>
      <c r="AH55" s="57"/>
      <c r="AI55" s="57"/>
      <c r="AJ55" s="57"/>
      <c r="AK55" s="57"/>
      <c r="AL55" s="57"/>
      <c r="AM55" s="57"/>
      <c r="AN55" s="57"/>
      <c r="AO55" s="57"/>
      <c r="AP55" s="57"/>
      <c r="AQ55" s="57"/>
      <c r="AR55" s="57"/>
      <c r="AS55" s="57"/>
    </row>
    <row r="56" spans="1:45">
      <c r="A56" s="57">
        <v>2</v>
      </c>
      <c r="B56" s="57">
        <v>2032</v>
      </c>
      <c r="C56" s="62">
        <f>SUM('4. Metinis CAPEX'!L$9:L$10)</f>
        <v>0</v>
      </c>
      <c r="D56" s="62" cm="1">
        <f t="array" ref="D56">SUMPRODUCT('4. Metinis CAPEX'!L$9:L$10,IFERROR('2. Investicijos'!$N$5:$N$6/'2. Investicijos'!$H$5:$H$6,0))</f>
        <v>0</v>
      </c>
      <c r="E56" s="62" cm="1">
        <f t="array" ref="E56">SUMPRODUCT('4. Metinis CAPEX'!L$9:L$10,IFERROR(('2. Investicijos'!$I$5:$I$6+'2. Investicijos'!$J$5:$J$6+'2. Investicijos'!$K$5:$K$6+'2. Investicijos'!$L$5:$L$6)/'2. Investicijos'!$H$5:$H$6,0))</f>
        <v>0</v>
      </c>
      <c r="F56" s="62" cm="1">
        <f t="array" ref="F56">SUM('2. Investicijos'!$H$5:$H$6*IF('2. Investicijos'!$G$5:$G$6&lt;=35,30%,40%))</f>
        <v>0</v>
      </c>
      <c r="G56" s="62" cm="1">
        <f t="array" ref="G56">IF(AND(2032&gt;=2026,2032&lt;2026+'6. Aprašo scenarijus'!$C$4),SUM('2. Investicijos'!$H$5:$H$6*IF('2. Investicijos'!$G$5:$G$6&lt;=35,30%,40%))/'6. Aprašo scenarijus'!$C$4,0)</f>
        <v>0</v>
      </c>
      <c r="H56" s="62">
        <f t="shared" si="40"/>
        <v>0</v>
      </c>
      <c r="I56" s="62">
        <f>SUM(L$5:L$6)</f>
        <v>0</v>
      </c>
      <c r="J56" s="62" t="e" cm="1">
        <f t="array" ref="J56">K56+L56+MAX(0,-R55)*IFERROR(SUMPRODUCT(IF('2. Investicijos'!$N$5:$N$6&gt;('2. Investicijos'!$H$5:$H$6*IF('2. Investicijos'!$G$5:$G$6&lt;=35,30%,40%)),'2. Investicijos'!$N$5:$N$6-('2. Investicijos'!$H$5:$H$6*IF('2. Investicijos'!$G$5:$G$6&lt;=35,30%,40%)),0),'2. Investicijos'!$O$5:$O$6/100)/SUM(IF('2. Investicijos'!$N$5:$N$6&gt;('2. Investicijos'!$H$5:$H$6*IF('2. Investicijos'!$G$5:$G$6&lt;=35,30%,40%)),'2. Investicijos'!$N$5:$N$6-('2. Investicijos'!$H$5:$H$6*IF('2. Investicijos'!$G$5:$G$6&lt;=35,30%,40%)),0)),0)</f>
        <v>#VALUE!</v>
      </c>
      <c r="K56" s="62">
        <f>SUM(AF$5:AF$6)</f>
        <v>0</v>
      </c>
      <c r="L56" s="62">
        <f>SUM(V$5:V$6)</f>
        <v>0</v>
      </c>
      <c r="M56" s="62">
        <f>SUM(AP$5:AP$6)</f>
        <v>0</v>
      </c>
      <c r="N56" s="62">
        <f>'3. Finansinės prielaidos'!I30+M56</f>
        <v>0</v>
      </c>
      <c r="O56" s="62">
        <f>'3. Finansinės prielaidos'!I31</f>
        <v>0</v>
      </c>
      <c r="P56" s="62">
        <f>'3. Finansinės prielaidos'!I32</f>
        <v>0</v>
      </c>
      <c r="Q56" s="62" t="e">
        <f t="shared" si="41"/>
        <v>#VALUE!</v>
      </c>
      <c r="R56" s="62" t="e">
        <f>R55+('3. Finansinės prielaidos'!I31-'3. Finansinės prielaidos'!H31)+Q56</f>
        <v>#VALUE!</v>
      </c>
      <c r="S56" s="62" t="e" cm="1">
        <f t="array" ref="S56">SUMPRODUCT(--(2032&gt;'2. Investicijos'!$F$5:$F$6),--(2032&lt;='2. Investicijos'!$F$5:$F$6+'2. Investicijos'!$G$5:$G$6),IFERROR(('2. Investicijos'!$M$5:$M$6+IF('2. Investicijos'!$N$5:$N$6&gt;('2. Investicijos'!$H$5:$H$6*IF('2. Investicijos'!$G$5:$G$6&lt;=35,30%,40%)),'2. Investicijos'!$N$5:$N$6-('2. Investicijos'!$H$5:$H$6*IF('2. Investicijos'!$G$5:$G$6&lt;=35,30%,40%)),0)+('2. Investicijos'!$H$5:$H$6*IF('2. Investicijos'!$G$5:$G$6&lt;=35,30%,40%)))/'2. Investicijos'!$G$5:$G$6,0))+SUMPRODUCT(--(2032&gt;'2. Investicijos'!$F$5:$F$6),--(2032&lt;='2. Investicijos'!$F$5:$F$6+'2. Investicijos'!$G$5:$G$6),IFERROR(('2. Investicijos'!$M$5:$M$6+IF('2. Investicijos'!$N$5:$N$6&gt;('2. Investicijos'!$H$5:$H$6*IF('2. Investicijos'!$G$5:$G$6&lt;=35,30%,40%)),'2. Investicijos'!$N$5:$N$6-('2. Investicijos'!$H$5:$H$6*IF('2. Investicijos'!$G$5:$G$6&lt;=35,30%,40%)),0))*(1-((2032-'2. Investicijos'!$F$5:$F$6)-1)/'2. Investicijos'!$G$5:$G$6),0)*'5. 0% scenarijus'!$C$5)</f>
        <v>#VALUE!</v>
      </c>
      <c r="T56" s="62" t="e">
        <f>'3. Finansinės prielaidos'!I29+S56+G56</f>
        <v>#VALUE!</v>
      </c>
      <c r="U56" s="62" t="e">
        <f t="shared" si="42"/>
        <v>#VALUE!</v>
      </c>
      <c r="V56" s="72" t="e">
        <f t="shared" si="43"/>
        <v>#VALUE!</v>
      </c>
      <c r="W56" s="72" t="e">
        <f t="shared" si="44"/>
        <v>#VALUE!</v>
      </c>
      <c r="X56" s="57" t="e">
        <f t="shared" si="45"/>
        <v>#VALUE!</v>
      </c>
      <c r="Y56" s="57" t="e">
        <f t="shared" si="46"/>
        <v>#VALUE!</v>
      </c>
      <c r="Z56" s="57"/>
      <c r="AA56" s="57"/>
      <c r="AB56" s="57"/>
      <c r="AC56" s="57"/>
      <c r="AD56" s="57"/>
      <c r="AE56" s="57"/>
      <c r="AF56" s="57"/>
      <c r="AG56" s="57"/>
      <c r="AH56" s="57"/>
      <c r="AI56" s="57"/>
      <c r="AJ56" s="57"/>
      <c r="AK56" s="57"/>
      <c r="AL56" s="57"/>
      <c r="AM56" s="57"/>
      <c r="AN56" s="57"/>
      <c r="AO56" s="57"/>
      <c r="AP56" s="57"/>
      <c r="AQ56" s="57"/>
      <c r="AR56" s="57"/>
      <c r="AS56" s="57"/>
    </row>
    <row r="57" spans="1:45">
      <c r="A57" s="57">
        <v>2</v>
      </c>
      <c r="B57" s="57">
        <v>2033</v>
      </c>
      <c r="C57" s="62">
        <f>SUM('4. Metinis CAPEX'!M$9:M$10)</f>
        <v>0</v>
      </c>
      <c r="D57" s="62" cm="1">
        <f t="array" ref="D57">SUMPRODUCT('4. Metinis CAPEX'!M$9:M$10,IFERROR('2. Investicijos'!$N$5:$N$6/'2. Investicijos'!$H$5:$H$6,0))</f>
        <v>0</v>
      </c>
      <c r="E57" s="62" cm="1">
        <f t="array" ref="E57">SUMPRODUCT('4. Metinis CAPEX'!M$9:M$10,IFERROR(('2. Investicijos'!$I$5:$I$6+'2. Investicijos'!$J$5:$J$6+'2. Investicijos'!$K$5:$K$6+'2. Investicijos'!$L$5:$L$6)/'2. Investicijos'!$H$5:$H$6,0))</f>
        <v>0</v>
      </c>
      <c r="F57" s="62" cm="1">
        <f t="array" ref="F57">SUM('2. Investicijos'!$H$5:$H$6*IF('2. Investicijos'!$G$5:$G$6&lt;=35,30%,40%))</f>
        <v>0</v>
      </c>
      <c r="G57" s="62" cm="1">
        <f t="array" ref="G57">IF(AND(2033&gt;=2026,2033&lt;2026+'6. Aprašo scenarijus'!$C$4),SUM('2. Investicijos'!$H$5:$H$6*IF('2. Investicijos'!$G$5:$G$6&lt;=35,30%,40%))/'6. Aprašo scenarijus'!$C$4,0)</f>
        <v>0</v>
      </c>
      <c r="H57" s="62">
        <f t="shared" si="40"/>
        <v>0</v>
      </c>
      <c r="I57" s="62">
        <f>SUM(M$5:M$6)</f>
        <v>0</v>
      </c>
      <c r="J57" s="62" t="e" cm="1">
        <f t="array" ref="J57">K57+L57+MAX(0,-R56)*IFERROR(SUMPRODUCT(IF('2. Investicijos'!$N$5:$N$6&gt;('2. Investicijos'!$H$5:$H$6*IF('2. Investicijos'!$G$5:$G$6&lt;=35,30%,40%)),'2. Investicijos'!$N$5:$N$6-('2. Investicijos'!$H$5:$H$6*IF('2. Investicijos'!$G$5:$G$6&lt;=35,30%,40%)),0),'2. Investicijos'!$O$5:$O$6/100)/SUM(IF('2. Investicijos'!$N$5:$N$6&gt;('2. Investicijos'!$H$5:$H$6*IF('2. Investicijos'!$G$5:$G$6&lt;=35,30%,40%)),'2. Investicijos'!$N$5:$N$6-('2. Investicijos'!$H$5:$H$6*IF('2. Investicijos'!$G$5:$G$6&lt;=35,30%,40%)),0)),0)</f>
        <v>#VALUE!</v>
      </c>
      <c r="K57" s="62">
        <f>SUM(AG$5:AG$6)</f>
        <v>0</v>
      </c>
      <c r="L57" s="62">
        <f>SUM(W$5:W$6)</f>
        <v>0</v>
      </c>
      <c r="M57" s="62">
        <f>SUM(AQ$5:AQ$6)</f>
        <v>0</v>
      </c>
      <c r="N57" s="62">
        <f>'3. Finansinės prielaidos'!J30+M57</f>
        <v>0</v>
      </c>
      <c r="O57" s="62">
        <f>'3. Finansinės prielaidos'!J31</f>
        <v>0</v>
      </c>
      <c r="P57" s="62">
        <f>'3. Finansinės prielaidos'!J32</f>
        <v>0</v>
      </c>
      <c r="Q57" s="62" t="e">
        <f t="shared" si="41"/>
        <v>#VALUE!</v>
      </c>
      <c r="R57" s="62" t="e">
        <f>R56+('3. Finansinės prielaidos'!J31-'3. Finansinės prielaidos'!I31)+Q57</f>
        <v>#VALUE!</v>
      </c>
      <c r="S57" s="62" t="e" cm="1">
        <f t="array" ref="S57">SUMPRODUCT(--(2033&gt;'2. Investicijos'!$F$5:$F$6),--(2033&lt;='2. Investicijos'!$F$5:$F$6+'2. Investicijos'!$G$5:$G$6),IFERROR(('2. Investicijos'!$M$5:$M$6+IF('2. Investicijos'!$N$5:$N$6&gt;('2. Investicijos'!$H$5:$H$6*IF('2. Investicijos'!$G$5:$G$6&lt;=35,30%,40%)),'2. Investicijos'!$N$5:$N$6-('2. Investicijos'!$H$5:$H$6*IF('2. Investicijos'!$G$5:$G$6&lt;=35,30%,40%)),0)+('2. Investicijos'!$H$5:$H$6*IF('2. Investicijos'!$G$5:$G$6&lt;=35,30%,40%)))/'2. Investicijos'!$G$5:$G$6,0))+SUMPRODUCT(--(2033&gt;'2. Investicijos'!$F$5:$F$6),--(2033&lt;='2. Investicijos'!$F$5:$F$6+'2. Investicijos'!$G$5:$G$6),IFERROR(('2. Investicijos'!$M$5:$M$6+IF('2. Investicijos'!$N$5:$N$6&gt;('2. Investicijos'!$H$5:$H$6*IF('2. Investicijos'!$G$5:$G$6&lt;=35,30%,40%)),'2. Investicijos'!$N$5:$N$6-('2. Investicijos'!$H$5:$H$6*IF('2. Investicijos'!$G$5:$G$6&lt;=35,30%,40%)),0))*(1-((2033-'2. Investicijos'!$F$5:$F$6)-1)/'2. Investicijos'!$G$5:$G$6),0)*'5. 0% scenarijus'!$C$5)</f>
        <v>#VALUE!</v>
      </c>
      <c r="T57" s="62" t="e">
        <f>'3. Finansinės prielaidos'!J29+S57+G57</f>
        <v>#VALUE!</v>
      </c>
      <c r="U57" s="62" t="e">
        <f t="shared" si="42"/>
        <v>#VALUE!</v>
      </c>
      <c r="V57" s="72" t="e">
        <f t="shared" si="43"/>
        <v>#VALUE!</v>
      </c>
      <c r="W57" s="72" t="e">
        <f t="shared" si="44"/>
        <v>#VALUE!</v>
      </c>
      <c r="X57" s="57" t="e">
        <f t="shared" si="45"/>
        <v>#VALUE!</v>
      </c>
      <c r="Y57" s="57" t="e">
        <f t="shared" si="46"/>
        <v>#VALUE!</v>
      </c>
      <c r="Z57" s="57"/>
      <c r="AA57" s="57"/>
      <c r="AB57" s="57"/>
      <c r="AC57" s="57"/>
      <c r="AD57" s="57"/>
      <c r="AE57" s="57"/>
      <c r="AF57" s="57"/>
      <c r="AG57" s="57"/>
      <c r="AH57" s="57"/>
      <c r="AI57" s="57"/>
      <c r="AJ57" s="57"/>
      <c r="AK57" s="57"/>
      <c r="AL57" s="57"/>
      <c r="AM57" s="57"/>
      <c r="AN57" s="57"/>
      <c r="AO57" s="57"/>
      <c r="AP57" s="57"/>
      <c r="AQ57" s="57"/>
      <c r="AR57" s="57"/>
      <c r="AS57" s="57"/>
    </row>
    <row r="58" spans="1:45">
      <c r="A58" s="57">
        <v>2</v>
      </c>
      <c r="B58" s="57">
        <v>2034</v>
      </c>
      <c r="C58" s="62">
        <f>SUM('4. Metinis CAPEX'!N$9:N$10)</f>
        <v>0</v>
      </c>
      <c r="D58" s="62" cm="1">
        <f t="array" ref="D58">SUMPRODUCT('4. Metinis CAPEX'!N$9:N$10,IFERROR('2. Investicijos'!$N$5:$N$6/'2. Investicijos'!$H$5:$H$6,0))</f>
        <v>0</v>
      </c>
      <c r="E58" s="62" cm="1">
        <f t="array" ref="E58">SUMPRODUCT('4. Metinis CAPEX'!N$9:N$10,IFERROR(('2. Investicijos'!$I$5:$I$6+'2. Investicijos'!$J$5:$J$6+'2. Investicijos'!$K$5:$K$6+'2. Investicijos'!$L$5:$L$6)/'2. Investicijos'!$H$5:$H$6,0))</f>
        <v>0</v>
      </c>
      <c r="F58" s="62" cm="1">
        <f t="array" ref="F58">SUM('2. Investicijos'!$H$5:$H$6*IF('2. Investicijos'!$G$5:$G$6&lt;=35,30%,40%))</f>
        <v>0</v>
      </c>
      <c r="G58" s="62" cm="1">
        <f t="array" ref="G58">IF(AND(2034&gt;=2026,2034&lt;2026+'6. Aprašo scenarijus'!$C$4),SUM('2. Investicijos'!$H$5:$H$6*IF('2. Investicijos'!$G$5:$G$6&lt;=35,30%,40%))/'6. Aprašo scenarijus'!$C$4,0)</f>
        <v>0</v>
      </c>
      <c r="H58" s="62">
        <f t="shared" si="40"/>
        <v>0</v>
      </c>
      <c r="I58" s="62">
        <f>SUM(N$5:N$6)</f>
        <v>0</v>
      </c>
      <c r="J58" s="62" t="e" cm="1">
        <f t="array" ref="J58">K58+L58+MAX(0,-R57)*IFERROR(SUMPRODUCT(IF('2. Investicijos'!$N$5:$N$6&gt;('2. Investicijos'!$H$5:$H$6*IF('2. Investicijos'!$G$5:$G$6&lt;=35,30%,40%)),'2. Investicijos'!$N$5:$N$6-('2. Investicijos'!$H$5:$H$6*IF('2. Investicijos'!$G$5:$G$6&lt;=35,30%,40%)),0),'2. Investicijos'!$O$5:$O$6/100)/SUM(IF('2. Investicijos'!$N$5:$N$6&gt;('2. Investicijos'!$H$5:$H$6*IF('2. Investicijos'!$G$5:$G$6&lt;=35,30%,40%)),'2. Investicijos'!$N$5:$N$6-('2. Investicijos'!$H$5:$H$6*IF('2. Investicijos'!$G$5:$G$6&lt;=35,30%,40%)),0)),0)</f>
        <v>#VALUE!</v>
      </c>
      <c r="K58" s="62">
        <f>SUM(AH$5:AH$6)</f>
        <v>0</v>
      </c>
      <c r="L58" s="62">
        <f>SUM(X$5:X$6)</f>
        <v>0</v>
      </c>
      <c r="M58" s="62">
        <f>SUM(AR$5:AR$6)</f>
        <v>0</v>
      </c>
      <c r="N58" s="62">
        <f>'3. Finansinės prielaidos'!K30+M58</f>
        <v>0</v>
      </c>
      <c r="O58" s="62">
        <f>'3. Finansinės prielaidos'!K31</f>
        <v>0</v>
      </c>
      <c r="P58" s="62">
        <f>'3. Finansinės prielaidos'!K32</f>
        <v>0</v>
      </c>
      <c r="Q58" s="62" t="e">
        <f t="shared" si="41"/>
        <v>#VALUE!</v>
      </c>
      <c r="R58" s="62" t="e">
        <f>R57+('3. Finansinės prielaidos'!K31-'3. Finansinės prielaidos'!J31)+Q58</f>
        <v>#VALUE!</v>
      </c>
      <c r="S58" s="62" t="e" cm="1">
        <f t="array" ref="S58">SUMPRODUCT(--(2034&gt;'2. Investicijos'!$F$5:$F$6),--(2034&lt;='2. Investicijos'!$F$5:$F$6+'2. Investicijos'!$G$5:$G$6),IFERROR(('2. Investicijos'!$M$5:$M$6+IF('2. Investicijos'!$N$5:$N$6&gt;('2. Investicijos'!$H$5:$H$6*IF('2. Investicijos'!$G$5:$G$6&lt;=35,30%,40%)),'2. Investicijos'!$N$5:$N$6-('2. Investicijos'!$H$5:$H$6*IF('2. Investicijos'!$G$5:$G$6&lt;=35,30%,40%)),0)+('2. Investicijos'!$H$5:$H$6*IF('2. Investicijos'!$G$5:$G$6&lt;=35,30%,40%)))/'2. Investicijos'!$G$5:$G$6,0))+SUMPRODUCT(--(2034&gt;'2. Investicijos'!$F$5:$F$6),--(2034&lt;='2. Investicijos'!$F$5:$F$6+'2. Investicijos'!$G$5:$G$6),IFERROR(('2. Investicijos'!$M$5:$M$6+IF('2. Investicijos'!$N$5:$N$6&gt;('2. Investicijos'!$H$5:$H$6*IF('2. Investicijos'!$G$5:$G$6&lt;=35,30%,40%)),'2. Investicijos'!$N$5:$N$6-('2. Investicijos'!$H$5:$H$6*IF('2. Investicijos'!$G$5:$G$6&lt;=35,30%,40%)),0))*(1-((2034-'2. Investicijos'!$F$5:$F$6)-1)/'2. Investicijos'!$G$5:$G$6),0)*'5. 0% scenarijus'!$C$5)</f>
        <v>#VALUE!</v>
      </c>
      <c r="T58" s="62" t="e">
        <f>'3. Finansinės prielaidos'!K29+S58+G58</f>
        <v>#VALUE!</v>
      </c>
      <c r="U58" s="62" t="e">
        <f t="shared" si="42"/>
        <v>#VALUE!</v>
      </c>
      <c r="V58" s="72" t="e">
        <f t="shared" si="43"/>
        <v>#VALUE!</v>
      </c>
      <c r="W58" s="72" t="e">
        <f t="shared" si="44"/>
        <v>#VALUE!</v>
      </c>
      <c r="X58" s="57" t="e">
        <f t="shared" si="45"/>
        <v>#VALUE!</v>
      </c>
      <c r="Y58" s="57" t="e">
        <f t="shared" si="46"/>
        <v>#VALUE!</v>
      </c>
      <c r="Z58" s="57"/>
      <c r="AA58" s="57"/>
      <c r="AB58" s="57"/>
      <c r="AC58" s="57"/>
      <c r="AD58" s="57"/>
      <c r="AE58" s="57"/>
      <c r="AF58" s="57"/>
      <c r="AG58" s="57"/>
      <c r="AH58" s="57"/>
      <c r="AI58" s="57"/>
      <c r="AJ58" s="57"/>
      <c r="AK58" s="57"/>
      <c r="AL58" s="57"/>
      <c r="AM58" s="57"/>
      <c r="AN58" s="57"/>
      <c r="AO58" s="57"/>
      <c r="AP58" s="57"/>
      <c r="AQ58" s="57"/>
      <c r="AR58" s="57"/>
      <c r="AS58" s="57"/>
    </row>
    <row r="59" spans="1:45">
      <c r="A59" s="57">
        <v>2</v>
      </c>
      <c r="B59" s="57">
        <v>2035</v>
      </c>
      <c r="C59" s="62">
        <f>SUM('4. Metinis CAPEX'!O$9:O$10)</f>
        <v>0</v>
      </c>
      <c r="D59" s="62" cm="1">
        <f t="array" ref="D59">SUMPRODUCT('4. Metinis CAPEX'!O$9:O$10,IFERROR('2. Investicijos'!$N$5:$N$6/'2. Investicijos'!$H$5:$H$6,0))</f>
        <v>0</v>
      </c>
      <c r="E59" s="62" cm="1">
        <f t="array" ref="E59">SUMPRODUCT('4. Metinis CAPEX'!O$9:O$10,IFERROR(('2. Investicijos'!$I$5:$I$6+'2. Investicijos'!$J$5:$J$6+'2. Investicijos'!$K$5:$K$6+'2. Investicijos'!$L$5:$L$6)/'2. Investicijos'!$H$5:$H$6,0))</f>
        <v>0</v>
      </c>
      <c r="F59" s="62" cm="1">
        <f t="array" ref="F59">SUM('2. Investicijos'!$H$5:$H$6*IF('2. Investicijos'!$G$5:$G$6&lt;=35,30%,40%))</f>
        <v>0</v>
      </c>
      <c r="G59" s="62" cm="1">
        <f t="array" ref="G59">IF(AND(2035&gt;=2026,2035&lt;2026+'6. Aprašo scenarijus'!$C$4),SUM('2. Investicijos'!$H$5:$H$6*IF('2. Investicijos'!$G$5:$G$6&lt;=35,30%,40%))/'6. Aprašo scenarijus'!$C$4,0)</f>
        <v>0</v>
      </c>
      <c r="H59" s="62">
        <f t="shared" si="40"/>
        <v>0</v>
      </c>
      <c r="I59" s="62">
        <f>SUM(O$5:O$6)</f>
        <v>0</v>
      </c>
      <c r="J59" s="62" t="e" cm="1">
        <f t="array" ref="J59">K59+L59+MAX(0,-R58)*IFERROR(SUMPRODUCT(IF('2. Investicijos'!$N$5:$N$6&gt;('2. Investicijos'!$H$5:$H$6*IF('2. Investicijos'!$G$5:$G$6&lt;=35,30%,40%)),'2. Investicijos'!$N$5:$N$6-('2. Investicijos'!$H$5:$H$6*IF('2. Investicijos'!$G$5:$G$6&lt;=35,30%,40%)),0),'2. Investicijos'!$O$5:$O$6/100)/SUM(IF('2. Investicijos'!$N$5:$N$6&gt;('2. Investicijos'!$H$5:$H$6*IF('2. Investicijos'!$G$5:$G$6&lt;=35,30%,40%)),'2. Investicijos'!$N$5:$N$6-('2. Investicijos'!$H$5:$H$6*IF('2. Investicijos'!$G$5:$G$6&lt;=35,30%,40%)),0)),0)</f>
        <v>#VALUE!</v>
      </c>
      <c r="K59" s="62">
        <f>SUM(AI$5:AI$6)</f>
        <v>0</v>
      </c>
      <c r="L59" s="62">
        <f>SUM(Y$5:Y$6)</f>
        <v>0</v>
      </c>
      <c r="M59" s="62">
        <f>SUM(AS$5:AS$6)</f>
        <v>0</v>
      </c>
      <c r="N59" s="62">
        <f>'3. Finansinės prielaidos'!L30+M59</f>
        <v>0</v>
      </c>
      <c r="O59" s="62">
        <f>'3. Finansinės prielaidos'!L31</f>
        <v>0</v>
      </c>
      <c r="P59" s="62">
        <f>'3. Finansinės prielaidos'!L32</f>
        <v>0</v>
      </c>
      <c r="Q59" s="62" t="e">
        <f t="shared" si="41"/>
        <v>#VALUE!</v>
      </c>
      <c r="R59" s="62" t="e">
        <f>R58+('3. Finansinės prielaidos'!L31-'3. Finansinės prielaidos'!K31)+Q59</f>
        <v>#VALUE!</v>
      </c>
      <c r="S59" s="62" t="e" cm="1">
        <f t="array" ref="S59">SUMPRODUCT(--(2035&gt;'2. Investicijos'!$F$5:$F$6),--(2035&lt;='2. Investicijos'!$F$5:$F$6+'2. Investicijos'!$G$5:$G$6),IFERROR(('2. Investicijos'!$M$5:$M$6+IF('2. Investicijos'!$N$5:$N$6&gt;('2. Investicijos'!$H$5:$H$6*IF('2. Investicijos'!$G$5:$G$6&lt;=35,30%,40%)),'2. Investicijos'!$N$5:$N$6-('2. Investicijos'!$H$5:$H$6*IF('2. Investicijos'!$G$5:$G$6&lt;=35,30%,40%)),0)+('2. Investicijos'!$H$5:$H$6*IF('2. Investicijos'!$G$5:$G$6&lt;=35,30%,40%)))/'2. Investicijos'!$G$5:$G$6,0))+SUMPRODUCT(--(2035&gt;'2. Investicijos'!$F$5:$F$6),--(2035&lt;='2. Investicijos'!$F$5:$F$6+'2. Investicijos'!$G$5:$G$6),IFERROR(('2. Investicijos'!$M$5:$M$6+IF('2. Investicijos'!$N$5:$N$6&gt;('2. Investicijos'!$H$5:$H$6*IF('2. Investicijos'!$G$5:$G$6&lt;=35,30%,40%)),'2. Investicijos'!$N$5:$N$6-('2. Investicijos'!$H$5:$H$6*IF('2. Investicijos'!$G$5:$G$6&lt;=35,30%,40%)),0))*(1-((2035-'2. Investicijos'!$F$5:$F$6)-1)/'2. Investicijos'!$G$5:$G$6),0)*'5. 0% scenarijus'!$C$5)</f>
        <v>#VALUE!</v>
      </c>
      <c r="T59" s="62" t="e">
        <f>'3. Finansinės prielaidos'!L29+S59+G59</f>
        <v>#VALUE!</v>
      </c>
      <c r="U59" s="62" t="e">
        <f t="shared" si="42"/>
        <v>#VALUE!</v>
      </c>
      <c r="V59" s="72" t="e">
        <f t="shared" si="43"/>
        <v>#VALUE!</v>
      </c>
      <c r="W59" s="72" t="e">
        <f t="shared" si="44"/>
        <v>#VALUE!</v>
      </c>
      <c r="X59" s="57" t="e">
        <f t="shared" si="45"/>
        <v>#VALUE!</v>
      </c>
      <c r="Y59" s="57" t="e">
        <f t="shared" si="46"/>
        <v>#VALUE!</v>
      </c>
      <c r="Z59" s="57"/>
      <c r="AA59" s="57"/>
      <c r="AB59" s="57"/>
      <c r="AC59" s="57"/>
      <c r="AD59" s="57"/>
      <c r="AE59" s="57"/>
      <c r="AF59" s="57"/>
      <c r="AG59" s="57"/>
      <c r="AH59" s="57"/>
      <c r="AI59" s="57"/>
      <c r="AJ59" s="57"/>
      <c r="AK59" s="57"/>
      <c r="AL59" s="57"/>
      <c r="AM59" s="57"/>
      <c r="AN59" s="57"/>
      <c r="AO59" s="57"/>
      <c r="AP59" s="57"/>
      <c r="AQ59" s="57"/>
      <c r="AR59" s="57"/>
      <c r="AS59" s="57"/>
    </row>
    <row r="60" spans="1:45">
      <c r="A60" s="57">
        <v>3</v>
      </c>
      <c r="B60" s="57">
        <v>2026</v>
      </c>
      <c r="C60" s="62">
        <f>SUM('4. Metinis CAPEX'!F$9:F$11)</f>
        <v>0</v>
      </c>
      <c r="D60" s="62" cm="1">
        <f t="array" ref="D60">SUMPRODUCT('4. Metinis CAPEX'!F$9:F$11,IFERROR('2. Investicijos'!$N$5:$N$7/'2. Investicijos'!$H$5:$H$7,0))</f>
        <v>0</v>
      </c>
      <c r="E60" s="62" cm="1">
        <f t="array" ref="E60">SUMPRODUCT('4. Metinis CAPEX'!F$9:F$11,IFERROR(('2. Investicijos'!$I$5:$I$7+'2. Investicijos'!$J$5:$J$7+'2. Investicijos'!$K$5:$K$7+'2. Investicijos'!$L$5:$L$7)/'2. Investicijos'!$H$5:$H$7,0))</f>
        <v>0</v>
      </c>
      <c r="F60" s="62" cm="1">
        <f t="array" ref="F60">SUM('2. Investicijos'!$H$5:$H$7*IF('2. Investicijos'!$G$5:$G$7&lt;=35,30%,40%))</f>
        <v>0</v>
      </c>
      <c r="G60" s="62" cm="1">
        <f t="array" ref="G60">IF(AND(2026&gt;=2026,2026&lt;2026+'6. Aprašo scenarijus'!$C$4),SUM('2. Investicijos'!$H$5:$H$7*IF('2. Investicijos'!$G$5:$G$7&lt;=35,30%,40%))/'6. Aprašo scenarijus'!$C$4,0)</f>
        <v>0</v>
      </c>
      <c r="H60" s="62">
        <f t="shared" si="40"/>
        <v>0</v>
      </c>
      <c r="I60" s="62">
        <f>SUM(F$5:F$7)</f>
        <v>0</v>
      </c>
      <c r="J60" s="62">
        <f>0</f>
        <v>0</v>
      </c>
      <c r="K60" s="62">
        <f>SUM(Z$5:Z$7)</f>
        <v>0</v>
      </c>
      <c r="L60" s="62">
        <f>SUM(P$5:P$7)</f>
        <v>0</v>
      </c>
      <c r="M60" s="62">
        <f>SUM(AJ$5:AJ$7)</f>
        <v>0</v>
      </c>
      <c r="N60" s="62">
        <f>'3. Finansinės prielaidos'!C30+M60</f>
        <v>0</v>
      </c>
      <c r="O60" s="62">
        <f>'3. Finansinės prielaidos'!C31</f>
        <v>0</v>
      </c>
      <c r="P60" s="62">
        <f>'3. Finansinės prielaidos'!C32</f>
        <v>0</v>
      </c>
      <c r="Q60" s="62" t="e">
        <f t="shared" si="41"/>
        <v>#VALUE!</v>
      </c>
      <c r="R60" s="62" t="e">
        <f>O60+Q60</f>
        <v>#VALUE!</v>
      </c>
      <c r="S60" s="62" t="e" cm="1">
        <f t="array" ref="S60">SUMPRODUCT(--(2026&gt;'2. Investicijos'!$F$5:$F$7),--(2026&lt;='2. Investicijos'!$F$5:$F$7+'2. Investicijos'!$G$5:$G$7),IFERROR(('2. Investicijos'!$M$5:$M$7+IF('2. Investicijos'!$N$5:$N$7&gt;('2. Investicijos'!$H$5:$H$7*IF('2. Investicijos'!$G$5:$G$7&lt;=35,30%,40%)),'2. Investicijos'!$N$5:$N$7-('2. Investicijos'!$H$5:$H$7*IF('2. Investicijos'!$G$5:$G$7&lt;=35,30%,40%)),0)+('2. Investicijos'!$H$5:$H$7*IF('2. Investicijos'!$G$5:$G$7&lt;=35,30%,40%)))/'2. Investicijos'!$G$5:$G$7,0))+SUMPRODUCT(--(2026&gt;'2. Investicijos'!$F$5:$F$7),--(2026&lt;='2. Investicijos'!$F$5:$F$7+'2. Investicijos'!$G$5:$G$7),IFERROR(('2. Investicijos'!$M$5:$M$7+IF('2. Investicijos'!$N$5:$N$7&gt;('2. Investicijos'!$H$5:$H$7*IF('2. Investicijos'!$G$5:$G$7&lt;=35,30%,40%)),'2. Investicijos'!$N$5:$N$7-('2. Investicijos'!$H$5:$H$7*IF('2. Investicijos'!$G$5:$G$7&lt;=35,30%,40%)),0))*(1-((2026-'2. Investicijos'!$F$5:$F$7)-1)/'2. Investicijos'!$G$5:$G$7),0)*'5. 0% scenarijus'!$C$5)</f>
        <v>#VALUE!</v>
      </c>
      <c r="T60" s="62" t="e">
        <f>'3. Finansinės prielaidos'!C29+S60+G60</f>
        <v>#VALUE!</v>
      </c>
      <c r="U60" s="62" t="e">
        <f t="shared" si="42"/>
        <v>#VALUE!</v>
      </c>
      <c r="V60" s="72" t="e">
        <f t="shared" si="43"/>
        <v>#VALUE!</v>
      </c>
      <c r="W60" s="72" t="e">
        <f t="shared" si="44"/>
        <v>#VALUE!</v>
      </c>
      <c r="X60" s="57" t="e">
        <f t="shared" si="45"/>
        <v>#VALUE!</v>
      </c>
      <c r="Y60" s="57" t="e">
        <f t="shared" si="46"/>
        <v>#VALUE!</v>
      </c>
      <c r="Z60" s="57"/>
      <c r="AA60" s="57"/>
      <c r="AB60" s="57"/>
      <c r="AC60" s="57"/>
      <c r="AD60" s="57"/>
      <c r="AE60" s="57"/>
      <c r="AF60" s="57"/>
      <c r="AG60" s="57"/>
      <c r="AH60" s="57"/>
      <c r="AI60" s="57"/>
      <c r="AJ60" s="57"/>
      <c r="AK60" s="57"/>
      <c r="AL60" s="57"/>
      <c r="AM60" s="57"/>
      <c r="AN60" s="57"/>
      <c r="AO60" s="57"/>
      <c r="AP60" s="57"/>
      <c r="AQ60" s="57"/>
      <c r="AR60" s="57"/>
      <c r="AS60" s="57"/>
    </row>
    <row r="61" spans="1:45">
      <c r="A61" s="57">
        <v>3</v>
      </c>
      <c r="B61" s="57">
        <v>2027</v>
      </c>
      <c r="C61" s="62">
        <f>SUM('4. Metinis CAPEX'!G$9:G$11)</f>
        <v>0</v>
      </c>
      <c r="D61" s="62" cm="1">
        <f t="array" ref="D61">SUMPRODUCT('4. Metinis CAPEX'!G$9:G$11,IFERROR('2. Investicijos'!$N$5:$N$7/'2. Investicijos'!$H$5:$H$7,0))</f>
        <v>0</v>
      </c>
      <c r="E61" s="62" cm="1">
        <f t="array" ref="E61">SUMPRODUCT('4. Metinis CAPEX'!G$9:G$11,IFERROR(('2. Investicijos'!$I$5:$I$7+'2. Investicijos'!$J$5:$J$7+'2. Investicijos'!$K$5:$K$7+'2. Investicijos'!$L$5:$L$7)/'2. Investicijos'!$H$5:$H$7,0))</f>
        <v>0</v>
      </c>
      <c r="F61" s="62" cm="1">
        <f t="array" ref="F61">SUM('2. Investicijos'!$H$5:$H$7*IF('2. Investicijos'!$G$5:$G$7&lt;=35,30%,40%))</f>
        <v>0</v>
      </c>
      <c r="G61" s="62" cm="1">
        <f t="array" ref="G61">IF(AND(2027&gt;=2026,2027&lt;2026+'6. Aprašo scenarijus'!$C$4),SUM('2. Investicijos'!$H$5:$H$7*IF('2. Investicijos'!$G$5:$G$7&lt;=35,30%,40%))/'6. Aprašo scenarijus'!$C$4,0)</f>
        <v>0</v>
      </c>
      <c r="H61" s="62">
        <f t="shared" si="40"/>
        <v>0</v>
      </c>
      <c r="I61" s="62">
        <f>SUM(G$5:G$7)</f>
        <v>0</v>
      </c>
      <c r="J61" s="62" t="e" cm="1">
        <f t="array" ref="J61">K61+L61+MAX(0,-R60)*IFERROR(SUMPRODUCT(IF('2. Investicijos'!$N$5:$N$7&gt;('2. Investicijos'!$H$5:$H$7*IF('2. Investicijos'!$G$5:$G$7&lt;=35,30%,40%)),'2. Investicijos'!$N$5:$N$7-('2. Investicijos'!$H$5:$H$7*IF('2. Investicijos'!$G$5:$G$7&lt;=35,30%,40%)),0),'2. Investicijos'!$O$5:$O$7/100)/SUM(IF('2. Investicijos'!$N$5:$N$7&gt;('2. Investicijos'!$H$5:$H$7*IF('2. Investicijos'!$G$5:$G$7&lt;=35,30%,40%)),'2. Investicijos'!$N$5:$N$7-('2. Investicijos'!$H$5:$H$7*IF('2. Investicijos'!$G$5:$G$7&lt;=35,30%,40%)),0)),0)</f>
        <v>#VALUE!</v>
      </c>
      <c r="K61" s="62">
        <f>SUM(AA$5:AA$7)</f>
        <v>0</v>
      </c>
      <c r="L61" s="62">
        <f>SUM(Q$5:Q$7)</f>
        <v>0</v>
      </c>
      <c r="M61" s="62">
        <f>SUM(AK$5:AK$7)</f>
        <v>0</v>
      </c>
      <c r="N61" s="62">
        <f>'3. Finansinės prielaidos'!D30+M61</f>
        <v>0</v>
      </c>
      <c r="O61" s="62">
        <f>'3. Finansinės prielaidos'!D31</f>
        <v>0</v>
      </c>
      <c r="P61" s="62">
        <f>'3. Finansinės prielaidos'!D32</f>
        <v>0</v>
      </c>
      <c r="Q61" s="62" t="e">
        <f t="shared" si="41"/>
        <v>#VALUE!</v>
      </c>
      <c r="R61" s="62" t="e">
        <f>R60+('3. Finansinės prielaidos'!D31-'3. Finansinės prielaidos'!C31)+Q61</f>
        <v>#VALUE!</v>
      </c>
      <c r="S61" s="62" t="e" cm="1">
        <f t="array" ref="S61">SUMPRODUCT(--(2027&gt;'2. Investicijos'!$F$5:$F$7),--(2027&lt;='2. Investicijos'!$F$5:$F$7+'2. Investicijos'!$G$5:$G$7),IFERROR(('2. Investicijos'!$M$5:$M$7+IF('2. Investicijos'!$N$5:$N$7&gt;('2. Investicijos'!$H$5:$H$7*IF('2. Investicijos'!$G$5:$G$7&lt;=35,30%,40%)),'2. Investicijos'!$N$5:$N$7-('2. Investicijos'!$H$5:$H$7*IF('2. Investicijos'!$G$5:$G$7&lt;=35,30%,40%)),0)+('2. Investicijos'!$H$5:$H$7*IF('2. Investicijos'!$G$5:$G$7&lt;=35,30%,40%)))/'2. Investicijos'!$G$5:$G$7,0))+SUMPRODUCT(--(2027&gt;'2. Investicijos'!$F$5:$F$7),--(2027&lt;='2. Investicijos'!$F$5:$F$7+'2. Investicijos'!$G$5:$G$7),IFERROR(('2. Investicijos'!$M$5:$M$7+IF('2. Investicijos'!$N$5:$N$7&gt;('2. Investicijos'!$H$5:$H$7*IF('2. Investicijos'!$G$5:$G$7&lt;=35,30%,40%)),'2. Investicijos'!$N$5:$N$7-('2. Investicijos'!$H$5:$H$7*IF('2. Investicijos'!$G$5:$G$7&lt;=35,30%,40%)),0))*(1-((2027-'2. Investicijos'!$F$5:$F$7)-1)/'2. Investicijos'!$G$5:$G$7),0)*'5. 0% scenarijus'!$C$5)</f>
        <v>#VALUE!</v>
      </c>
      <c r="T61" s="62" t="e">
        <f>'3. Finansinės prielaidos'!D29+S61+G61</f>
        <v>#VALUE!</v>
      </c>
      <c r="U61" s="62" t="e">
        <f t="shared" si="42"/>
        <v>#VALUE!</v>
      </c>
      <c r="V61" s="72" t="e">
        <f t="shared" si="43"/>
        <v>#VALUE!</v>
      </c>
      <c r="W61" s="72" t="e">
        <f t="shared" si="44"/>
        <v>#VALUE!</v>
      </c>
      <c r="X61" s="57" t="e">
        <f t="shared" si="45"/>
        <v>#VALUE!</v>
      </c>
      <c r="Y61" s="57" t="e">
        <f t="shared" si="46"/>
        <v>#VALUE!</v>
      </c>
      <c r="Z61" s="57"/>
      <c r="AA61" s="57"/>
      <c r="AB61" s="57"/>
      <c r="AC61" s="57"/>
      <c r="AD61" s="57"/>
      <c r="AE61" s="57"/>
      <c r="AF61" s="57"/>
      <c r="AG61" s="57"/>
      <c r="AH61" s="57"/>
      <c r="AI61" s="57"/>
      <c r="AJ61" s="57"/>
      <c r="AK61" s="57"/>
      <c r="AL61" s="57"/>
      <c r="AM61" s="57"/>
      <c r="AN61" s="57"/>
      <c r="AO61" s="57"/>
      <c r="AP61" s="57"/>
      <c r="AQ61" s="57"/>
      <c r="AR61" s="57"/>
      <c r="AS61" s="57"/>
    </row>
    <row r="62" spans="1:45">
      <c r="A62" s="57">
        <v>3</v>
      </c>
      <c r="B62" s="57">
        <v>2028</v>
      </c>
      <c r="C62" s="62">
        <f>SUM('4. Metinis CAPEX'!H$9:H$11)</f>
        <v>0</v>
      </c>
      <c r="D62" s="62" cm="1">
        <f t="array" ref="D62">SUMPRODUCT('4. Metinis CAPEX'!H$9:H$11,IFERROR('2. Investicijos'!$N$5:$N$7/'2. Investicijos'!$H$5:$H$7,0))</f>
        <v>0</v>
      </c>
      <c r="E62" s="62" cm="1">
        <f t="array" ref="E62">SUMPRODUCT('4. Metinis CAPEX'!H$9:H$11,IFERROR(('2. Investicijos'!$I$5:$I$7+'2. Investicijos'!$J$5:$J$7+'2. Investicijos'!$K$5:$K$7+'2. Investicijos'!$L$5:$L$7)/'2. Investicijos'!$H$5:$H$7,0))</f>
        <v>0</v>
      </c>
      <c r="F62" s="62" cm="1">
        <f t="array" ref="F62">SUM('2. Investicijos'!$H$5:$H$7*IF('2. Investicijos'!$G$5:$G$7&lt;=35,30%,40%))</f>
        <v>0</v>
      </c>
      <c r="G62" s="62" cm="1">
        <f t="array" ref="G62">IF(AND(2028&gt;=2026,2028&lt;2026+'6. Aprašo scenarijus'!$C$4),SUM('2. Investicijos'!$H$5:$H$7*IF('2. Investicijos'!$G$5:$G$7&lt;=35,30%,40%))/'6. Aprašo scenarijus'!$C$4,0)</f>
        <v>0</v>
      </c>
      <c r="H62" s="62">
        <f t="shared" si="40"/>
        <v>0</v>
      </c>
      <c r="I62" s="62">
        <f>SUM(H$5:H$7)</f>
        <v>0</v>
      </c>
      <c r="J62" s="62" t="e" cm="1">
        <f t="array" ref="J62">K62+L62+MAX(0,-R61)*IFERROR(SUMPRODUCT(IF('2. Investicijos'!$N$5:$N$7&gt;('2. Investicijos'!$H$5:$H$7*IF('2. Investicijos'!$G$5:$G$7&lt;=35,30%,40%)),'2. Investicijos'!$N$5:$N$7-('2. Investicijos'!$H$5:$H$7*IF('2. Investicijos'!$G$5:$G$7&lt;=35,30%,40%)),0),'2. Investicijos'!$O$5:$O$7/100)/SUM(IF('2. Investicijos'!$N$5:$N$7&gt;('2. Investicijos'!$H$5:$H$7*IF('2. Investicijos'!$G$5:$G$7&lt;=35,30%,40%)),'2. Investicijos'!$N$5:$N$7-('2. Investicijos'!$H$5:$H$7*IF('2. Investicijos'!$G$5:$G$7&lt;=35,30%,40%)),0)),0)</f>
        <v>#VALUE!</v>
      </c>
      <c r="K62" s="62">
        <f>SUM(AB$5:AB$7)</f>
        <v>0</v>
      </c>
      <c r="L62" s="62">
        <f>SUM(R$5:R$7)</f>
        <v>0</v>
      </c>
      <c r="M62" s="62">
        <f>SUM(AL$5:AL$7)</f>
        <v>0</v>
      </c>
      <c r="N62" s="62">
        <f>'3. Finansinės prielaidos'!E30+M62</f>
        <v>0</v>
      </c>
      <c r="O62" s="62">
        <f>'3. Finansinės prielaidos'!E31</f>
        <v>0</v>
      </c>
      <c r="P62" s="62">
        <f>'3. Finansinės prielaidos'!E32</f>
        <v>0</v>
      </c>
      <c r="Q62" s="62" t="e">
        <f t="shared" si="41"/>
        <v>#VALUE!</v>
      </c>
      <c r="R62" s="62" t="e">
        <f>R61+('3. Finansinės prielaidos'!E31-'3. Finansinės prielaidos'!D31)+Q62</f>
        <v>#VALUE!</v>
      </c>
      <c r="S62" s="62" t="e" cm="1">
        <f t="array" ref="S62">SUMPRODUCT(--(2028&gt;'2. Investicijos'!$F$5:$F$7),--(2028&lt;='2. Investicijos'!$F$5:$F$7+'2. Investicijos'!$G$5:$G$7),IFERROR(('2. Investicijos'!$M$5:$M$7+IF('2. Investicijos'!$N$5:$N$7&gt;('2. Investicijos'!$H$5:$H$7*IF('2. Investicijos'!$G$5:$G$7&lt;=35,30%,40%)),'2. Investicijos'!$N$5:$N$7-('2. Investicijos'!$H$5:$H$7*IF('2. Investicijos'!$G$5:$G$7&lt;=35,30%,40%)),0)+('2. Investicijos'!$H$5:$H$7*IF('2. Investicijos'!$G$5:$G$7&lt;=35,30%,40%)))/'2. Investicijos'!$G$5:$G$7,0))+SUMPRODUCT(--(2028&gt;'2. Investicijos'!$F$5:$F$7),--(2028&lt;='2. Investicijos'!$F$5:$F$7+'2. Investicijos'!$G$5:$G$7),IFERROR(('2. Investicijos'!$M$5:$M$7+IF('2. Investicijos'!$N$5:$N$7&gt;('2. Investicijos'!$H$5:$H$7*IF('2. Investicijos'!$G$5:$G$7&lt;=35,30%,40%)),'2. Investicijos'!$N$5:$N$7-('2. Investicijos'!$H$5:$H$7*IF('2. Investicijos'!$G$5:$G$7&lt;=35,30%,40%)),0))*(1-((2028-'2. Investicijos'!$F$5:$F$7)-1)/'2. Investicijos'!$G$5:$G$7),0)*'5. 0% scenarijus'!$C$5)</f>
        <v>#VALUE!</v>
      </c>
      <c r="T62" s="62" t="e">
        <f>'3. Finansinės prielaidos'!E29+S62+G62</f>
        <v>#VALUE!</v>
      </c>
      <c r="U62" s="62" t="e">
        <f t="shared" si="42"/>
        <v>#VALUE!</v>
      </c>
      <c r="V62" s="72" t="e">
        <f t="shared" si="43"/>
        <v>#VALUE!</v>
      </c>
      <c r="W62" s="72" t="e">
        <f t="shared" si="44"/>
        <v>#VALUE!</v>
      </c>
      <c r="X62" s="57" t="e">
        <f t="shared" si="45"/>
        <v>#VALUE!</v>
      </c>
      <c r="Y62" s="57" t="e">
        <f t="shared" si="46"/>
        <v>#VALUE!</v>
      </c>
      <c r="Z62" s="57"/>
      <c r="AA62" s="57"/>
      <c r="AB62" s="57"/>
      <c r="AC62" s="57"/>
      <c r="AD62" s="57"/>
      <c r="AE62" s="57"/>
      <c r="AF62" s="57"/>
      <c r="AG62" s="57"/>
      <c r="AH62" s="57"/>
      <c r="AI62" s="57"/>
      <c r="AJ62" s="57"/>
      <c r="AK62" s="57"/>
      <c r="AL62" s="57"/>
      <c r="AM62" s="57"/>
      <c r="AN62" s="57"/>
      <c r="AO62" s="57"/>
      <c r="AP62" s="57"/>
      <c r="AQ62" s="57"/>
      <c r="AR62" s="57"/>
      <c r="AS62" s="57"/>
    </row>
    <row r="63" spans="1:45">
      <c r="A63" s="57">
        <v>3</v>
      </c>
      <c r="B63" s="57">
        <v>2029</v>
      </c>
      <c r="C63" s="62">
        <f>SUM('4. Metinis CAPEX'!I$9:I$11)</f>
        <v>0</v>
      </c>
      <c r="D63" s="62" cm="1">
        <f t="array" ref="D63">SUMPRODUCT('4. Metinis CAPEX'!I$9:I$11,IFERROR('2. Investicijos'!$N$5:$N$7/'2. Investicijos'!$H$5:$H$7,0))</f>
        <v>0</v>
      </c>
      <c r="E63" s="62" cm="1">
        <f t="array" ref="E63">SUMPRODUCT('4. Metinis CAPEX'!I$9:I$11,IFERROR(('2. Investicijos'!$I$5:$I$7+'2. Investicijos'!$J$5:$J$7+'2. Investicijos'!$K$5:$K$7+'2. Investicijos'!$L$5:$L$7)/'2. Investicijos'!$H$5:$H$7,0))</f>
        <v>0</v>
      </c>
      <c r="F63" s="62" cm="1">
        <f t="array" ref="F63">SUM('2. Investicijos'!$H$5:$H$7*IF('2. Investicijos'!$G$5:$G$7&lt;=35,30%,40%))</f>
        <v>0</v>
      </c>
      <c r="G63" s="62" cm="1">
        <f t="array" ref="G63">IF(AND(2029&gt;=2026,2029&lt;2026+'6. Aprašo scenarijus'!$C$4),SUM('2. Investicijos'!$H$5:$H$7*IF('2. Investicijos'!$G$5:$G$7&lt;=35,30%,40%))/'6. Aprašo scenarijus'!$C$4,0)</f>
        <v>0</v>
      </c>
      <c r="H63" s="62">
        <f t="shared" si="40"/>
        <v>0</v>
      </c>
      <c r="I63" s="62">
        <f>SUM(I$5:I$7)</f>
        <v>0</v>
      </c>
      <c r="J63" s="62" t="e" cm="1">
        <f t="array" ref="J63">K63+L63+MAX(0,-R62)*IFERROR(SUMPRODUCT(IF('2. Investicijos'!$N$5:$N$7&gt;('2. Investicijos'!$H$5:$H$7*IF('2. Investicijos'!$G$5:$G$7&lt;=35,30%,40%)),'2. Investicijos'!$N$5:$N$7-('2. Investicijos'!$H$5:$H$7*IF('2. Investicijos'!$G$5:$G$7&lt;=35,30%,40%)),0),'2. Investicijos'!$O$5:$O$7/100)/SUM(IF('2. Investicijos'!$N$5:$N$7&gt;('2. Investicijos'!$H$5:$H$7*IF('2. Investicijos'!$G$5:$G$7&lt;=35,30%,40%)),'2. Investicijos'!$N$5:$N$7-('2. Investicijos'!$H$5:$H$7*IF('2. Investicijos'!$G$5:$G$7&lt;=35,30%,40%)),0)),0)</f>
        <v>#VALUE!</v>
      </c>
      <c r="K63" s="62">
        <f>SUM(AC$5:AC$7)</f>
        <v>0</v>
      </c>
      <c r="L63" s="62">
        <f>SUM(S$5:S$7)</f>
        <v>0</v>
      </c>
      <c r="M63" s="62">
        <f>SUM(AM$5:AM$7)</f>
        <v>0</v>
      </c>
      <c r="N63" s="62">
        <f>'3. Finansinės prielaidos'!F30+M63</f>
        <v>0</v>
      </c>
      <c r="O63" s="62">
        <f>'3. Finansinės prielaidos'!F31</f>
        <v>0</v>
      </c>
      <c r="P63" s="62">
        <f>'3. Finansinės prielaidos'!F32</f>
        <v>0</v>
      </c>
      <c r="Q63" s="62" t="e">
        <f t="shared" si="41"/>
        <v>#VALUE!</v>
      </c>
      <c r="R63" s="62" t="e">
        <f>R62+('3. Finansinės prielaidos'!F31-'3. Finansinės prielaidos'!E31)+Q63</f>
        <v>#VALUE!</v>
      </c>
      <c r="S63" s="62" t="e" cm="1">
        <f t="array" ref="S63">SUMPRODUCT(--(2029&gt;'2. Investicijos'!$F$5:$F$7),--(2029&lt;='2. Investicijos'!$F$5:$F$7+'2. Investicijos'!$G$5:$G$7),IFERROR(('2. Investicijos'!$M$5:$M$7+IF('2. Investicijos'!$N$5:$N$7&gt;('2. Investicijos'!$H$5:$H$7*IF('2. Investicijos'!$G$5:$G$7&lt;=35,30%,40%)),'2. Investicijos'!$N$5:$N$7-('2. Investicijos'!$H$5:$H$7*IF('2. Investicijos'!$G$5:$G$7&lt;=35,30%,40%)),0)+('2. Investicijos'!$H$5:$H$7*IF('2. Investicijos'!$G$5:$G$7&lt;=35,30%,40%)))/'2. Investicijos'!$G$5:$G$7,0))+SUMPRODUCT(--(2029&gt;'2. Investicijos'!$F$5:$F$7),--(2029&lt;='2. Investicijos'!$F$5:$F$7+'2. Investicijos'!$G$5:$G$7),IFERROR(('2. Investicijos'!$M$5:$M$7+IF('2. Investicijos'!$N$5:$N$7&gt;('2. Investicijos'!$H$5:$H$7*IF('2. Investicijos'!$G$5:$G$7&lt;=35,30%,40%)),'2. Investicijos'!$N$5:$N$7-('2. Investicijos'!$H$5:$H$7*IF('2. Investicijos'!$G$5:$G$7&lt;=35,30%,40%)),0))*(1-((2029-'2. Investicijos'!$F$5:$F$7)-1)/'2. Investicijos'!$G$5:$G$7),0)*'5. 0% scenarijus'!$C$5)</f>
        <v>#VALUE!</v>
      </c>
      <c r="T63" s="62" t="e">
        <f>'3. Finansinės prielaidos'!F29+S63+G63</f>
        <v>#VALUE!</v>
      </c>
      <c r="U63" s="62" t="e">
        <f t="shared" si="42"/>
        <v>#VALUE!</v>
      </c>
      <c r="V63" s="72" t="e">
        <f t="shared" si="43"/>
        <v>#VALUE!</v>
      </c>
      <c r="W63" s="72" t="e">
        <f t="shared" si="44"/>
        <v>#VALUE!</v>
      </c>
      <c r="X63" s="57" t="e">
        <f t="shared" si="45"/>
        <v>#VALUE!</v>
      </c>
      <c r="Y63" s="57" t="e">
        <f t="shared" si="46"/>
        <v>#VALUE!</v>
      </c>
      <c r="Z63" s="57"/>
      <c r="AA63" s="57"/>
      <c r="AB63" s="57"/>
      <c r="AC63" s="57"/>
      <c r="AD63" s="57"/>
      <c r="AE63" s="57"/>
      <c r="AF63" s="57"/>
      <c r="AG63" s="57"/>
      <c r="AH63" s="57"/>
      <c r="AI63" s="57"/>
      <c r="AJ63" s="57"/>
      <c r="AK63" s="57"/>
      <c r="AL63" s="57"/>
      <c r="AM63" s="57"/>
      <c r="AN63" s="57"/>
      <c r="AO63" s="57"/>
      <c r="AP63" s="57"/>
      <c r="AQ63" s="57"/>
      <c r="AR63" s="57"/>
      <c r="AS63" s="57"/>
    </row>
    <row r="64" spans="1:45">
      <c r="A64" s="57">
        <v>3</v>
      </c>
      <c r="B64" s="57">
        <v>2030</v>
      </c>
      <c r="C64" s="62">
        <f>SUM('4. Metinis CAPEX'!J$9:J$11)</f>
        <v>0</v>
      </c>
      <c r="D64" s="62" cm="1">
        <f t="array" ref="D64">SUMPRODUCT('4. Metinis CAPEX'!J$9:J$11,IFERROR('2. Investicijos'!$N$5:$N$7/'2. Investicijos'!$H$5:$H$7,0))</f>
        <v>0</v>
      </c>
      <c r="E64" s="62" cm="1">
        <f t="array" ref="E64">SUMPRODUCT('4. Metinis CAPEX'!J$9:J$11,IFERROR(('2. Investicijos'!$I$5:$I$7+'2. Investicijos'!$J$5:$J$7+'2. Investicijos'!$K$5:$K$7+'2. Investicijos'!$L$5:$L$7)/'2. Investicijos'!$H$5:$H$7,0))</f>
        <v>0</v>
      </c>
      <c r="F64" s="62" cm="1">
        <f t="array" ref="F64">SUM('2. Investicijos'!$H$5:$H$7*IF('2. Investicijos'!$G$5:$G$7&lt;=35,30%,40%))</f>
        <v>0</v>
      </c>
      <c r="G64" s="62" cm="1">
        <f t="array" ref="G64">IF(AND(2030&gt;=2026,2030&lt;2026+'6. Aprašo scenarijus'!$C$4),SUM('2. Investicijos'!$H$5:$H$7*IF('2. Investicijos'!$G$5:$G$7&lt;=35,30%,40%))/'6. Aprašo scenarijus'!$C$4,0)</f>
        <v>0</v>
      </c>
      <c r="H64" s="62">
        <f t="shared" si="40"/>
        <v>0</v>
      </c>
      <c r="I64" s="62">
        <f>SUM(J$5:J$7)</f>
        <v>0</v>
      </c>
      <c r="J64" s="62" t="e" cm="1">
        <f t="array" ref="J64">K64+L64+MAX(0,-R63)*IFERROR(SUMPRODUCT(IF('2. Investicijos'!$N$5:$N$7&gt;('2. Investicijos'!$H$5:$H$7*IF('2. Investicijos'!$G$5:$G$7&lt;=35,30%,40%)),'2. Investicijos'!$N$5:$N$7-('2. Investicijos'!$H$5:$H$7*IF('2. Investicijos'!$G$5:$G$7&lt;=35,30%,40%)),0),'2. Investicijos'!$O$5:$O$7/100)/SUM(IF('2. Investicijos'!$N$5:$N$7&gt;('2. Investicijos'!$H$5:$H$7*IF('2. Investicijos'!$G$5:$G$7&lt;=35,30%,40%)),'2. Investicijos'!$N$5:$N$7-('2. Investicijos'!$H$5:$H$7*IF('2. Investicijos'!$G$5:$G$7&lt;=35,30%,40%)),0)),0)</f>
        <v>#VALUE!</v>
      </c>
      <c r="K64" s="62">
        <f>SUM(AD$5:AD$7)</f>
        <v>0</v>
      </c>
      <c r="L64" s="62">
        <f>SUM(T$5:T$7)</f>
        <v>0</v>
      </c>
      <c r="M64" s="62">
        <f>SUM(AN$5:AN$7)</f>
        <v>0</v>
      </c>
      <c r="N64" s="62">
        <f>'3. Finansinės prielaidos'!G30+M64</f>
        <v>0</v>
      </c>
      <c r="O64" s="62">
        <f>'3. Finansinės prielaidos'!G31</f>
        <v>0</v>
      </c>
      <c r="P64" s="62">
        <f>'3. Finansinės prielaidos'!G32</f>
        <v>0</v>
      </c>
      <c r="Q64" s="62" t="e">
        <f t="shared" si="41"/>
        <v>#VALUE!</v>
      </c>
      <c r="R64" s="62" t="e">
        <f>R63+('3. Finansinės prielaidos'!G31-'3. Finansinės prielaidos'!F31)+Q64</f>
        <v>#VALUE!</v>
      </c>
      <c r="S64" s="62" t="e" cm="1">
        <f t="array" ref="S64">SUMPRODUCT(--(2030&gt;'2. Investicijos'!$F$5:$F$7),--(2030&lt;='2. Investicijos'!$F$5:$F$7+'2. Investicijos'!$G$5:$G$7),IFERROR(('2. Investicijos'!$M$5:$M$7+IF('2. Investicijos'!$N$5:$N$7&gt;('2. Investicijos'!$H$5:$H$7*IF('2. Investicijos'!$G$5:$G$7&lt;=35,30%,40%)),'2. Investicijos'!$N$5:$N$7-('2. Investicijos'!$H$5:$H$7*IF('2. Investicijos'!$G$5:$G$7&lt;=35,30%,40%)),0)+('2. Investicijos'!$H$5:$H$7*IF('2. Investicijos'!$G$5:$G$7&lt;=35,30%,40%)))/'2. Investicijos'!$G$5:$G$7,0))+SUMPRODUCT(--(2030&gt;'2. Investicijos'!$F$5:$F$7),--(2030&lt;='2. Investicijos'!$F$5:$F$7+'2. Investicijos'!$G$5:$G$7),IFERROR(('2. Investicijos'!$M$5:$M$7+IF('2. Investicijos'!$N$5:$N$7&gt;('2. Investicijos'!$H$5:$H$7*IF('2. Investicijos'!$G$5:$G$7&lt;=35,30%,40%)),'2. Investicijos'!$N$5:$N$7-('2. Investicijos'!$H$5:$H$7*IF('2. Investicijos'!$G$5:$G$7&lt;=35,30%,40%)),0))*(1-((2030-'2. Investicijos'!$F$5:$F$7)-1)/'2. Investicijos'!$G$5:$G$7),0)*'5. 0% scenarijus'!$C$5)</f>
        <v>#VALUE!</v>
      </c>
      <c r="T64" s="62" t="e">
        <f>'3. Finansinės prielaidos'!G29+S64+G64</f>
        <v>#VALUE!</v>
      </c>
      <c r="U64" s="62" t="e">
        <f t="shared" si="42"/>
        <v>#VALUE!</v>
      </c>
      <c r="V64" s="72" t="e">
        <f t="shared" si="43"/>
        <v>#VALUE!</v>
      </c>
      <c r="W64" s="72" t="e">
        <f t="shared" si="44"/>
        <v>#VALUE!</v>
      </c>
      <c r="X64" s="57" t="e">
        <f t="shared" si="45"/>
        <v>#VALUE!</v>
      </c>
      <c r="Y64" s="57" t="e">
        <f t="shared" si="46"/>
        <v>#VALUE!</v>
      </c>
      <c r="Z64" s="57"/>
      <c r="AA64" s="57"/>
      <c r="AB64" s="57"/>
      <c r="AC64" s="57"/>
      <c r="AD64" s="57"/>
      <c r="AE64" s="57"/>
      <c r="AF64" s="57"/>
      <c r="AG64" s="57"/>
      <c r="AH64" s="57"/>
      <c r="AI64" s="57"/>
      <c r="AJ64" s="57"/>
      <c r="AK64" s="57"/>
      <c r="AL64" s="57"/>
      <c r="AM64" s="57"/>
      <c r="AN64" s="57"/>
      <c r="AO64" s="57"/>
      <c r="AP64" s="57"/>
      <c r="AQ64" s="57"/>
      <c r="AR64" s="57"/>
      <c r="AS64" s="57"/>
    </row>
    <row r="65" spans="1:45">
      <c r="A65" s="57">
        <v>3</v>
      </c>
      <c r="B65" s="57">
        <v>2031</v>
      </c>
      <c r="C65" s="62">
        <f>SUM('4. Metinis CAPEX'!K$9:K$11)</f>
        <v>0</v>
      </c>
      <c r="D65" s="62" cm="1">
        <f t="array" ref="D65">SUMPRODUCT('4. Metinis CAPEX'!K$9:K$11,IFERROR('2. Investicijos'!$N$5:$N$7/'2. Investicijos'!$H$5:$H$7,0))</f>
        <v>0</v>
      </c>
      <c r="E65" s="62" cm="1">
        <f t="array" ref="E65">SUMPRODUCT('4. Metinis CAPEX'!K$9:K$11,IFERROR(('2. Investicijos'!$I$5:$I$7+'2. Investicijos'!$J$5:$J$7+'2. Investicijos'!$K$5:$K$7+'2. Investicijos'!$L$5:$L$7)/'2. Investicijos'!$H$5:$H$7,0))</f>
        <v>0</v>
      </c>
      <c r="F65" s="62" cm="1">
        <f t="array" ref="F65">SUM('2. Investicijos'!$H$5:$H$7*IF('2. Investicijos'!$G$5:$G$7&lt;=35,30%,40%))</f>
        <v>0</v>
      </c>
      <c r="G65" s="62" cm="1">
        <f t="array" ref="G65">IF(AND(2031&gt;=2026,2031&lt;2026+'6. Aprašo scenarijus'!$C$4),SUM('2. Investicijos'!$H$5:$H$7*IF('2. Investicijos'!$G$5:$G$7&lt;=35,30%,40%))/'6. Aprašo scenarijus'!$C$4,0)</f>
        <v>0</v>
      </c>
      <c r="H65" s="62">
        <f t="shared" si="40"/>
        <v>0</v>
      </c>
      <c r="I65" s="62">
        <f>SUM(K$5:K$7)</f>
        <v>0</v>
      </c>
      <c r="J65" s="62" t="e" cm="1">
        <f t="array" ref="J65">K65+L65+MAX(0,-R64)*IFERROR(SUMPRODUCT(IF('2. Investicijos'!$N$5:$N$7&gt;('2. Investicijos'!$H$5:$H$7*IF('2. Investicijos'!$G$5:$G$7&lt;=35,30%,40%)),'2. Investicijos'!$N$5:$N$7-('2. Investicijos'!$H$5:$H$7*IF('2. Investicijos'!$G$5:$G$7&lt;=35,30%,40%)),0),'2. Investicijos'!$O$5:$O$7/100)/SUM(IF('2. Investicijos'!$N$5:$N$7&gt;('2. Investicijos'!$H$5:$H$7*IF('2. Investicijos'!$G$5:$G$7&lt;=35,30%,40%)),'2. Investicijos'!$N$5:$N$7-('2. Investicijos'!$H$5:$H$7*IF('2. Investicijos'!$G$5:$G$7&lt;=35,30%,40%)),0)),0)</f>
        <v>#VALUE!</v>
      </c>
      <c r="K65" s="62">
        <f>SUM(AE$5:AE$7)</f>
        <v>0</v>
      </c>
      <c r="L65" s="62">
        <f>SUM(U$5:U$7)</f>
        <v>0</v>
      </c>
      <c r="M65" s="62">
        <f>SUM(AO$5:AO$7)</f>
        <v>0</v>
      </c>
      <c r="N65" s="62">
        <f>'3. Finansinės prielaidos'!H30+M65</f>
        <v>0</v>
      </c>
      <c r="O65" s="62">
        <f>'3. Finansinės prielaidos'!H31</f>
        <v>0</v>
      </c>
      <c r="P65" s="62">
        <f>'3. Finansinės prielaidos'!H32</f>
        <v>0</v>
      </c>
      <c r="Q65" s="62" t="e">
        <f t="shared" si="41"/>
        <v>#VALUE!</v>
      </c>
      <c r="R65" s="62" t="e">
        <f>R64+('3. Finansinės prielaidos'!H31-'3. Finansinės prielaidos'!G31)+Q65</f>
        <v>#VALUE!</v>
      </c>
      <c r="S65" s="62" t="e" cm="1">
        <f t="array" ref="S65">SUMPRODUCT(--(2031&gt;'2. Investicijos'!$F$5:$F$7),--(2031&lt;='2. Investicijos'!$F$5:$F$7+'2. Investicijos'!$G$5:$G$7),IFERROR(('2. Investicijos'!$M$5:$M$7+IF('2. Investicijos'!$N$5:$N$7&gt;('2. Investicijos'!$H$5:$H$7*IF('2. Investicijos'!$G$5:$G$7&lt;=35,30%,40%)),'2. Investicijos'!$N$5:$N$7-('2. Investicijos'!$H$5:$H$7*IF('2. Investicijos'!$G$5:$G$7&lt;=35,30%,40%)),0)+('2. Investicijos'!$H$5:$H$7*IF('2. Investicijos'!$G$5:$G$7&lt;=35,30%,40%)))/'2. Investicijos'!$G$5:$G$7,0))+SUMPRODUCT(--(2031&gt;'2. Investicijos'!$F$5:$F$7),--(2031&lt;='2. Investicijos'!$F$5:$F$7+'2. Investicijos'!$G$5:$G$7),IFERROR(('2. Investicijos'!$M$5:$M$7+IF('2. Investicijos'!$N$5:$N$7&gt;('2. Investicijos'!$H$5:$H$7*IF('2. Investicijos'!$G$5:$G$7&lt;=35,30%,40%)),'2. Investicijos'!$N$5:$N$7-('2. Investicijos'!$H$5:$H$7*IF('2. Investicijos'!$G$5:$G$7&lt;=35,30%,40%)),0))*(1-((2031-'2. Investicijos'!$F$5:$F$7)-1)/'2. Investicijos'!$G$5:$G$7),0)*'5. 0% scenarijus'!$C$5)</f>
        <v>#VALUE!</v>
      </c>
      <c r="T65" s="62" t="e">
        <f>'3. Finansinės prielaidos'!H29+S65+G65</f>
        <v>#VALUE!</v>
      </c>
      <c r="U65" s="62" t="e">
        <f t="shared" si="42"/>
        <v>#VALUE!</v>
      </c>
      <c r="V65" s="72" t="e">
        <f t="shared" si="43"/>
        <v>#VALUE!</v>
      </c>
      <c r="W65" s="72" t="e">
        <f t="shared" si="44"/>
        <v>#VALUE!</v>
      </c>
      <c r="X65" s="57" t="e">
        <f t="shared" si="45"/>
        <v>#VALUE!</v>
      </c>
      <c r="Y65" s="57" t="e">
        <f t="shared" si="46"/>
        <v>#VALUE!</v>
      </c>
      <c r="Z65" s="57"/>
      <c r="AA65" s="57"/>
      <c r="AB65" s="57"/>
      <c r="AC65" s="57"/>
      <c r="AD65" s="57"/>
      <c r="AE65" s="57"/>
      <c r="AF65" s="57"/>
      <c r="AG65" s="57"/>
      <c r="AH65" s="57"/>
      <c r="AI65" s="57"/>
      <c r="AJ65" s="57"/>
      <c r="AK65" s="57"/>
      <c r="AL65" s="57"/>
      <c r="AM65" s="57"/>
      <c r="AN65" s="57"/>
      <c r="AO65" s="57"/>
      <c r="AP65" s="57"/>
      <c r="AQ65" s="57"/>
      <c r="AR65" s="57"/>
      <c r="AS65" s="57"/>
    </row>
    <row r="66" spans="1:45">
      <c r="A66" s="57">
        <v>3</v>
      </c>
      <c r="B66" s="57">
        <v>2032</v>
      </c>
      <c r="C66" s="62">
        <f>SUM('4. Metinis CAPEX'!L$9:L$11)</f>
        <v>0</v>
      </c>
      <c r="D66" s="62" cm="1">
        <f t="array" ref="D66">SUMPRODUCT('4. Metinis CAPEX'!L$9:L$11,IFERROR('2. Investicijos'!$N$5:$N$7/'2. Investicijos'!$H$5:$H$7,0))</f>
        <v>0</v>
      </c>
      <c r="E66" s="62" cm="1">
        <f t="array" ref="E66">SUMPRODUCT('4. Metinis CAPEX'!L$9:L$11,IFERROR(('2. Investicijos'!$I$5:$I$7+'2. Investicijos'!$J$5:$J$7+'2. Investicijos'!$K$5:$K$7+'2. Investicijos'!$L$5:$L$7)/'2. Investicijos'!$H$5:$H$7,0))</f>
        <v>0</v>
      </c>
      <c r="F66" s="62" cm="1">
        <f t="array" ref="F66">SUM('2. Investicijos'!$H$5:$H$7*IF('2. Investicijos'!$G$5:$G$7&lt;=35,30%,40%))</f>
        <v>0</v>
      </c>
      <c r="G66" s="62" cm="1">
        <f t="array" ref="G66">IF(AND(2032&gt;=2026,2032&lt;2026+'6. Aprašo scenarijus'!$C$4),SUM('2. Investicijos'!$H$5:$H$7*IF('2. Investicijos'!$G$5:$G$7&lt;=35,30%,40%))/'6. Aprašo scenarijus'!$C$4,0)</f>
        <v>0</v>
      </c>
      <c r="H66" s="62">
        <f t="shared" si="40"/>
        <v>0</v>
      </c>
      <c r="I66" s="62">
        <f>SUM(L$5:L$7)</f>
        <v>0</v>
      </c>
      <c r="J66" s="62" t="e" cm="1">
        <f t="array" ref="J66">K66+L66+MAX(0,-R65)*IFERROR(SUMPRODUCT(IF('2. Investicijos'!$N$5:$N$7&gt;('2. Investicijos'!$H$5:$H$7*IF('2. Investicijos'!$G$5:$G$7&lt;=35,30%,40%)),'2. Investicijos'!$N$5:$N$7-('2. Investicijos'!$H$5:$H$7*IF('2. Investicijos'!$G$5:$G$7&lt;=35,30%,40%)),0),'2. Investicijos'!$O$5:$O$7/100)/SUM(IF('2. Investicijos'!$N$5:$N$7&gt;('2. Investicijos'!$H$5:$H$7*IF('2. Investicijos'!$G$5:$G$7&lt;=35,30%,40%)),'2. Investicijos'!$N$5:$N$7-('2. Investicijos'!$H$5:$H$7*IF('2. Investicijos'!$G$5:$G$7&lt;=35,30%,40%)),0)),0)</f>
        <v>#VALUE!</v>
      </c>
      <c r="K66" s="62">
        <f>SUM(AF$5:AF$7)</f>
        <v>0</v>
      </c>
      <c r="L66" s="62">
        <f>SUM(V$5:V$7)</f>
        <v>0</v>
      </c>
      <c r="M66" s="62">
        <f>SUM(AP$5:AP$7)</f>
        <v>0</v>
      </c>
      <c r="N66" s="62">
        <f>'3. Finansinės prielaidos'!I30+M66</f>
        <v>0</v>
      </c>
      <c r="O66" s="62">
        <f>'3. Finansinės prielaidos'!I31</f>
        <v>0</v>
      </c>
      <c r="P66" s="62">
        <f>'3. Finansinės prielaidos'!I32</f>
        <v>0</v>
      </c>
      <c r="Q66" s="62" t="e">
        <f t="shared" si="41"/>
        <v>#VALUE!</v>
      </c>
      <c r="R66" s="62" t="e">
        <f>R65+('3. Finansinės prielaidos'!I31-'3. Finansinės prielaidos'!H31)+Q66</f>
        <v>#VALUE!</v>
      </c>
      <c r="S66" s="62" t="e" cm="1">
        <f t="array" ref="S66">SUMPRODUCT(--(2032&gt;'2. Investicijos'!$F$5:$F$7),--(2032&lt;='2. Investicijos'!$F$5:$F$7+'2. Investicijos'!$G$5:$G$7),IFERROR(('2. Investicijos'!$M$5:$M$7+IF('2. Investicijos'!$N$5:$N$7&gt;('2. Investicijos'!$H$5:$H$7*IF('2. Investicijos'!$G$5:$G$7&lt;=35,30%,40%)),'2. Investicijos'!$N$5:$N$7-('2. Investicijos'!$H$5:$H$7*IF('2. Investicijos'!$G$5:$G$7&lt;=35,30%,40%)),0)+('2. Investicijos'!$H$5:$H$7*IF('2. Investicijos'!$G$5:$G$7&lt;=35,30%,40%)))/'2. Investicijos'!$G$5:$G$7,0))+SUMPRODUCT(--(2032&gt;'2. Investicijos'!$F$5:$F$7),--(2032&lt;='2. Investicijos'!$F$5:$F$7+'2. Investicijos'!$G$5:$G$7),IFERROR(('2. Investicijos'!$M$5:$M$7+IF('2. Investicijos'!$N$5:$N$7&gt;('2. Investicijos'!$H$5:$H$7*IF('2. Investicijos'!$G$5:$G$7&lt;=35,30%,40%)),'2. Investicijos'!$N$5:$N$7-('2. Investicijos'!$H$5:$H$7*IF('2. Investicijos'!$G$5:$G$7&lt;=35,30%,40%)),0))*(1-((2032-'2. Investicijos'!$F$5:$F$7)-1)/'2. Investicijos'!$G$5:$G$7),0)*'5. 0% scenarijus'!$C$5)</f>
        <v>#VALUE!</v>
      </c>
      <c r="T66" s="62" t="e">
        <f>'3. Finansinės prielaidos'!I29+S66+G66</f>
        <v>#VALUE!</v>
      </c>
      <c r="U66" s="62" t="e">
        <f t="shared" si="42"/>
        <v>#VALUE!</v>
      </c>
      <c r="V66" s="72" t="e">
        <f t="shared" si="43"/>
        <v>#VALUE!</v>
      </c>
      <c r="W66" s="72" t="e">
        <f t="shared" si="44"/>
        <v>#VALUE!</v>
      </c>
      <c r="X66" s="57" t="e">
        <f t="shared" si="45"/>
        <v>#VALUE!</v>
      </c>
      <c r="Y66" s="57" t="e">
        <f t="shared" si="46"/>
        <v>#VALUE!</v>
      </c>
      <c r="Z66" s="57"/>
      <c r="AA66" s="57"/>
      <c r="AB66" s="57"/>
      <c r="AC66" s="57"/>
      <c r="AD66" s="57"/>
      <c r="AE66" s="57"/>
      <c r="AF66" s="57"/>
      <c r="AG66" s="57"/>
      <c r="AH66" s="57"/>
      <c r="AI66" s="57"/>
      <c r="AJ66" s="57"/>
      <c r="AK66" s="57"/>
      <c r="AL66" s="57"/>
      <c r="AM66" s="57"/>
      <c r="AN66" s="57"/>
      <c r="AO66" s="57"/>
      <c r="AP66" s="57"/>
      <c r="AQ66" s="57"/>
      <c r="AR66" s="57"/>
      <c r="AS66" s="57"/>
    </row>
    <row r="67" spans="1:45">
      <c r="A67" s="57">
        <v>3</v>
      </c>
      <c r="B67" s="57">
        <v>2033</v>
      </c>
      <c r="C67" s="62">
        <f>SUM('4. Metinis CAPEX'!M$9:M$11)</f>
        <v>0</v>
      </c>
      <c r="D67" s="62" cm="1">
        <f t="array" ref="D67">SUMPRODUCT('4. Metinis CAPEX'!M$9:M$11,IFERROR('2. Investicijos'!$N$5:$N$7/'2. Investicijos'!$H$5:$H$7,0))</f>
        <v>0</v>
      </c>
      <c r="E67" s="62" cm="1">
        <f t="array" ref="E67">SUMPRODUCT('4. Metinis CAPEX'!M$9:M$11,IFERROR(('2. Investicijos'!$I$5:$I$7+'2. Investicijos'!$J$5:$J$7+'2. Investicijos'!$K$5:$K$7+'2. Investicijos'!$L$5:$L$7)/'2. Investicijos'!$H$5:$H$7,0))</f>
        <v>0</v>
      </c>
      <c r="F67" s="62" cm="1">
        <f t="array" ref="F67">SUM('2. Investicijos'!$H$5:$H$7*IF('2. Investicijos'!$G$5:$G$7&lt;=35,30%,40%))</f>
        <v>0</v>
      </c>
      <c r="G67" s="62" cm="1">
        <f t="array" ref="G67">IF(AND(2033&gt;=2026,2033&lt;2026+'6. Aprašo scenarijus'!$C$4),SUM('2. Investicijos'!$H$5:$H$7*IF('2. Investicijos'!$G$5:$G$7&lt;=35,30%,40%))/'6. Aprašo scenarijus'!$C$4,0)</f>
        <v>0</v>
      </c>
      <c r="H67" s="62">
        <f t="shared" si="40"/>
        <v>0</v>
      </c>
      <c r="I67" s="62">
        <f>SUM(M$5:M$7)</f>
        <v>0</v>
      </c>
      <c r="J67" s="62" t="e" cm="1">
        <f t="array" ref="J67">K67+L67+MAX(0,-R66)*IFERROR(SUMPRODUCT(IF('2. Investicijos'!$N$5:$N$7&gt;('2. Investicijos'!$H$5:$H$7*IF('2. Investicijos'!$G$5:$G$7&lt;=35,30%,40%)),'2. Investicijos'!$N$5:$N$7-('2. Investicijos'!$H$5:$H$7*IF('2. Investicijos'!$G$5:$G$7&lt;=35,30%,40%)),0),'2. Investicijos'!$O$5:$O$7/100)/SUM(IF('2. Investicijos'!$N$5:$N$7&gt;('2. Investicijos'!$H$5:$H$7*IF('2. Investicijos'!$G$5:$G$7&lt;=35,30%,40%)),'2. Investicijos'!$N$5:$N$7-('2. Investicijos'!$H$5:$H$7*IF('2. Investicijos'!$G$5:$G$7&lt;=35,30%,40%)),0)),0)</f>
        <v>#VALUE!</v>
      </c>
      <c r="K67" s="62">
        <f>SUM(AG$5:AG$7)</f>
        <v>0</v>
      </c>
      <c r="L67" s="62">
        <f>SUM(W$5:W$7)</f>
        <v>0</v>
      </c>
      <c r="M67" s="62">
        <f>SUM(AQ$5:AQ$7)</f>
        <v>0</v>
      </c>
      <c r="N67" s="62">
        <f>'3. Finansinės prielaidos'!J30+M67</f>
        <v>0</v>
      </c>
      <c r="O67" s="62">
        <f>'3. Finansinės prielaidos'!J31</f>
        <v>0</v>
      </c>
      <c r="P67" s="62">
        <f>'3. Finansinės prielaidos'!J32</f>
        <v>0</v>
      </c>
      <c r="Q67" s="62" t="e">
        <f t="shared" si="41"/>
        <v>#VALUE!</v>
      </c>
      <c r="R67" s="62" t="e">
        <f>R66+('3. Finansinės prielaidos'!J31-'3. Finansinės prielaidos'!I31)+Q67</f>
        <v>#VALUE!</v>
      </c>
      <c r="S67" s="62" t="e" cm="1">
        <f t="array" ref="S67">SUMPRODUCT(--(2033&gt;'2. Investicijos'!$F$5:$F$7),--(2033&lt;='2. Investicijos'!$F$5:$F$7+'2. Investicijos'!$G$5:$G$7),IFERROR(('2. Investicijos'!$M$5:$M$7+IF('2. Investicijos'!$N$5:$N$7&gt;('2. Investicijos'!$H$5:$H$7*IF('2. Investicijos'!$G$5:$G$7&lt;=35,30%,40%)),'2. Investicijos'!$N$5:$N$7-('2. Investicijos'!$H$5:$H$7*IF('2. Investicijos'!$G$5:$G$7&lt;=35,30%,40%)),0)+('2. Investicijos'!$H$5:$H$7*IF('2. Investicijos'!$G$5:$G$7&lt;=35,30%,40%)))/'2. Investicijos'!$G$5:$G$7,0))+SUMPRODUCT(--(2033&gt;'2. Investicijos'!$F$5:$F$7),--(2033&lt;='2. Investicijos'!$F$5:$F$7+'2. Investicijos'!$G$5:$G$7),IFERROR(('2. Investicijos'!$M$5:$M$7+IF('2. Investicijos'!$N$5:$N$7&gt;('2. Investicijos'!$H$5:$H$7*IF('2. Investicijos'!$G$5:$G$7&lt;=35,30%,40%)),'2. Investicijos'!$N$5:$N$7-('2. Investicijos'!$H$5:$H$7*IF('2. Investicijos'!$G$5:$G$7&lt;=35,30%,40%)),0))*(1-((2033-'2. Investicijos'!$F$5:$F$7)-1)/'2. Investicijos'!$G$5:$G$7),0)*'5. 0% scenarijus'!$C$5)</f>
        <v>#VALUE!</v>
      </c>
      <c r="T67" s="62" t="e">
        <f>'3. Finansinės prielaidos'!J29+S67+G67</f>
        <v>#VALUE!</v>
      </c>
      <c r="U67" s="62" t="e">
        <f t="shared" si="42"/>
        <v>#VALUE!</v>
      </c>
      <c r="V67" s="72" t="e">
        <f t="shared" si="43"/>
        <v>#VALUE!</v>
      </c>
      <c r="W67" s="72" t="e">
        <f t="shared" si="44"/>
        <v>#VALUE!</v>
      </c>
      <c r="X67" s="57" t="e">
        <f t="shared" si="45"/>
        <v>#VALUE!</v>
      </c>
      <c r="Y67" s="57" t="e">
        <f t="shared" si="46"/>
        <v>#VALUE!</v>
      </c>
      <c r="Z67" s="57"/>
      <c r="AA67" s="57"/>
      <c r="AB67" s="57"/>
      <c r="AC67" s="57"/>
      <c r="AD67" s="57"/>
      <c r="AE67" s="57"/>
      <c r="AF67" s="57"/>
      <c r="AG67" s="57"/>
      <c r="AH67" s="57"/>
      <c r="AI67" s="57"/>
      <c r="AJ67" s="57"/>
      <c r="AK67" s="57"/>
      <c r="AL67" s="57"/>
      <c r="AM67" s="57"/>
      <c r="AN67" s="57"/>
      <c r="AO67" s="57"/>
      <c r="AP67" s="57"/>
      <c r="AQ67" s="57"/>
      <c r="AR67" s="57"/>
      <c r="AS67" s="57"/>
    </row>
    <row r="68" spans="1:45">
      <c r="A68" s="57">
        <v>3</v>
      </c>
      <c r="B68" s="57">
        <v>2034</v>
      </c>
      <c r="C68" s="62">
        <f>SUM('4. Metinis CAPEX'!N$9:N$11)</f>
        <v>0</v>
      </c>
      <c r="D68" s="62" cm="1">
        <f t="array" ref="D68">SUMPRODUCT('4. Metinis CAPEX'!N$9:N$11,IFERROR('2. Investicijos'!$N$5:$N$7/'2. Investicijos'!$H$5:$H$7,0))</f>
        <v>0</v>
      </c>
      <c r="E68" s="62" cm="1">
        <f t="array" ref="E68">SUMPRODUCT('4. Metinis CAPEX'!N$9:N$11,IFERROR(('2. Investicijos'!$I$5:$I$7+'2. Investicijos'!$J$5:$J$7+'2. Investicijos'!$K$5:$K$7+'2. Investicijos'!$L$5:$L$7)/'2. Investicijos'!$H$5:$H$7,0))</f>
        <v>0</v>
      </c>
      <c r="F68" s="62" cm="1">
        <f t="array" ref="F68">SUM('2. Investicijos'!$H$5:$H$7*IF('2. Investicijos'!$G$5:$G$7&lt;=35,30%,40%))</f>
        <v>0</v>
      </c>
      <c r="G68" s="62" cm="1">
        <f t="array" ref="G68">IF(AND(2034&gt;=2026,2034&lt;2026+'6. Aprašo scenarijus'!$C$4),SUM('2. Investicijos'!$H$5:$H$7*IF('2. Investicijos'!$G$5:$G$7&lt;=35,30%,40%))/'6. Aprašo scenarijus'!$C$4,0)</f>
        <v>0</v>
      </c>
      <c r="H68" s="62">
        <f t="shared" si="40"/>
        <v>0</v>
      </c>
      <c r="I68" s="62">
        <f>SUM(N$5:N$7)</f>
        <v>0</v>
      </c>
      <c r="J68" s="62" t="e" cm="1">
        <f t="array" ref="J68">K68+L68+MAX(0,-R67)*IFERROR(SUMPRODUCT(IF('2. Investicijos'!$N$5:$N$7&gt;('2. Investicijos'!$H$5:$H$7*IF('2. Investicijos'!$G$5:$G$7&lt;=35,30%,40%)),'2. Investicijos'!$N$5:$N$7-('2. Investicijos'!$H$5:$H$7*IF('2. Investicijos'!$G$5:$G$7&lt;=35,30%,40%)),0),'2. Investicijos'!$O$5:$O$7/100)/SUM(IF('2. Investicijos'!$N$5:$N$7&gt;('2. Investicijos'!$H$5:$H$7*IF('2. Investicijos'!$G$5:$G$7&lt;=35,30%,40%)),'2. Investicijos'!$N$5:$N$7-('2. Investicijos'!$H$5:$H$7*IF('2. Investicijos'!$G$5:$G$7&lt;=35,30%,40%)),0)),0)</f>
        <v>#VALUE!</v>
      </c>
      <c r="K68" s="62">
        <f>SUM(AH$5:AH$7)</f>
        <v>0</v>
      </c>
      <c r="L68" s="62">
        <f>SUM(X$5:X$7)</f>
        <v>0</v>
      </c>
      <c r="M68" s="62">
        <f>SUM(AR$5:AR$7)</f>
        <v>0</v>
      </c>
      <c r="N68" s="62">
        <f>'3. Finansinės prielaidos'!K30+M68</f>
        <v>0</v>
      </c>
      <c r="O68" s="62">
        <f>'3. Finansinės prielaidos'!K31</f>
        <v>0</v>
      </c>
      <c r="P68" s="62">
        <f>'3. Finansinės prielaidos'!K32</f>
        <v>0</v>
      </c>
      <c r="Q68" s="62" t="e">
        <f t="shared" si="41"/>
        <v>#VALUE!</v>
      </c>
      <c r="R68" s="62" t="e">
        <f>R67+('3. Finansinės prielaidos'!K31-'3. Finansinės prielaidos'!J31)+Q68</f>
        <v>#VALUE!</v>
      </c>
      <c r="S68" s="62" t="e" cm="1">
        <f t="array" ref="S68">SUMPRODUCT(--(2034&gt;'2. Investicijos'!$F$5:$F$7),--(2034&lt;='2. Investicijos'!$F$5:$F$7+'2. Investicijos'!$G$5:$G$7),IFERROR(('2. Investicijos'!$M$5:$M$7+IF('2. Investicijos'!$N$5:$N$7&gt;('2. Investicijos'!$H$5:$H$7*IF('2. Investicijos'!$G$5:$G$7&lt;=35,30%,40%)),'2. Investicijos'!$N$5:$N$7-('2. Investicijos'!$H$5:$H$7*IF('2. Investicijos'!$G$5:$G$7&lt;=35,30%,40%)),0)+('2. Investicijos'!$H$5:$H$7*IF('2. Investicijos'!$G$5:$G$7&lt;=35,30%,40%)))/'2. Investicijos'!$G$5:$G$7,0))+SUMPRODUCT(--(2034&gt;'2. Investicijos'!$F$5:$F$7),--(2034&lt;='2. Investicijos'!$F$5:$F$7+'2. Investicijos'!$G$5:$G$7),IFERROR(('2. Investicijos'!$M$5:$M$7+IF('2. Investicijos'!$N$5:$N$7&gt;('2. Investicijos'!$H$5:$H$7*IF('2. Investicijos'!$G$5:$G$7&lt;=35,30%,40%)),'2. Investicijos'!$N$5:$N$7-('2. Investicijos'!$H$5:$H$7*IF('2. Investicijos'!$G$5:$G$7&lt;=35,30%,40%)),0))*(1-((2034-'2. Investicijos'!$F$5:$F$7)-1)/'2. Investicijos'!$G$5:$G$7),0)*'5. 0% scenarijus'!$C$5)</f>
        <v>#VALUE!</v>
      </c>
      <c r="T68" s="62" t="e">
        <f>'3. Finansinės prielaidos'!K29+S68+G68</f>
        <v>#VALUE!</v>
      </c>
      <c r="U68" s="62" t="e">
        <f t="shared" si="42"/>
        <v>#VALUE!</v>
      </c>
      <c r="V68" s="72" t="e">
        <f t="shared" si="43"/>
        <v>#VALUE!</v>
      </c>
      <c r="W68" s="72" t="e">
        <f t="shared" si="44"/>
        <v>#VALUE!</v>
      </c>
      <c r="X68" s="57" t="e">
        <f t="shared" si="45"/>
        <v>#VALUE!</v>
      </c>
      <c r="Y68" s="57" t="e">
        <f t="shared" si="46"/>
        <v>#VALUE!</v>
      </c>
      <c r="Z68" s="57"/>
      <c r="AA68" s="57"/>
      <c r="AB68" s="57"/>
      <c r="AC68" s="57"/>
      <c r="AD68" s="57"/>
      <c r="AE68" s="57"/>
      <c r="AF68" s="57"/>
      <c r="AG68" s="57"/>
      <c r="AH68" s="57"/>
      <c r="AI68" s="57"/>
      <c r="AJ68" s="57"/>
      <c r="AK68" s="57"/>
      <c r="AL68" s="57"/>
      <c r="AM68" s="57"/>
      <c r="AN68" s="57"/>
      <c r="AO68" s="57"/>
      <c r="AP68" s="57"/>
      <c r="AQ68" s="57"/>
      <c r="AR68" s="57"/>
      <c r="AS68" s="57"/>
    </row>
    <row r="69" spans="1:45">
      <c r="A69" s="57">
        <v>3</v>
      </c>
      <c r="B69" s="57">
        <v>2035</v>
      </c>
      <c r="C69" s="62">
        <f>SUM('4. Metinis CAPEX'!O$9:O$11)</f>
        <v>0</v>
      </c>
      <c r="D69" s="62" cm="1">
        <f t="array" ref="D69">SUMPRODUCT('4. Metinis CAPEX'!O$9:O$11,IFERROR('2. Investicijos'!$N$5:$N$7/'2. Investicijos'!$H$5:$H$7,0))</f>
        <v>0</v>
      </c>
      <c r="E69" s="62" cm="1">
        <f t="array" ref="E69">SUMPRODUCT('4. Metinis CAPEX'!O$9:O$11,IFERROR(('2. Investicijos'!$I$5:$I$7+'2. Investicijos'!$J$5:$J$7+'2. Investicijos'!$K$5:$K$7+'2. Investicijos'!$L$5:$L$7)/'2. Investicijos'!$H$5:$H$7,0))</f>
        <v>0</v>
      </c>
      <c r="F69" s="62" cm="1">
        <f t="array" ref="F69">SUM('2. Investicijos'!$H$5:$H$7*IF('2. Investicijos'!$G$5:$G$7&lt;=35,30%,40%))</f>
        <v>0</v>
      </c>
      <c r="G69" s="62" cm="1">
        <f t="array" ref="G69">IF(AND(2035&gt;=2026,2035&lt;2026+'6. Aprašo scenarijus'!$C$4),SUM('2. Investicijos'!$H$5:$H$7*IF('2. Investicijos'!$G$5:$G$7&lt;=35,30%,40%))/'6. Aprašo scenarijus'!$C$4,0)</f>
        <v>0</v>
      </c>
      <c r="H69" s="62">
        <f t="shared" si="40"/>
        <v>0</v>
      </c>
      <c r="I69" s="62">
        <f>SUM(O$5:O$7)</f>
        <v>0</v>
      </c>
      <c r="J69" s="62" t="e" cm="1">
        <f t="array" ref="J69">K69+L69+MAX(0,-R68)*IFERROR(SUMPRODUCT(IF('2. Investicijos'!$N$5:$N$7&gt;('2. Investicijos'!$H$5:$H$7*IF('2. Investicijos'!$G$5:$G$7&lt;=35,30%,40%)),'2. Investicijos'!$N$5:$N$7-('2. Investicijos'!$H$5:$H$7*IF('2. Investicijos'!$G$5:$G$7&lt;=35,30%,40%)),0),'2. Investicijos'!$O$5:$O$7/100)/SUM(IF('2. Investicijos'!$N$5:$N$7&gt;('2. Investicijos'!$H$5:$H$7*IF('2. Investicijos'!$G$5:$G$7&lt;=35,30%,40%)),'2. Investicijos'!$N$5:$N$7-('2. Investicijos'!$H$5:$H$7*IF('2. Investicijos'!$G$5:$G$7&lt;=35,30%,40%)),0)),0)</f>
        <v>#VALUE!</v>
      </c>
      <c r="K69" s="62">
        <f>SUM(AI$5:AI$7)</f>
        <v>0</v>
      </c>
      <c r="L69" s="62">
        <f>SUM(Y$5:Y$7)</f>
        <v>0</v>
      </c>
      <c r="M69" s="62">
        <f>SUM(AS$5:AS$7)</f>
        <v>0</v>
      </c>
      <c r="N69" s="62">
        <f>'3. Finansinės prielaidos'!L30+M69</f>
        <v>0</v>
      </c>
      <c r="O69" s="62">
        <f>'3. Finansinės prielaidos'!L31</f>
        <v>0</v>
      </c>
      <c r="P69" s="62">
        <f>'3. Finansinės prielaidos'!L32</f>
        <v>0</v>
      </c>
      <c r="Q69" s="62" t="e">
        <f t="shared" si="41"/>
        <v>#VALUE!</v>
      </c>
      <c r="R69" s="62" t="e">
        <f>R68+('3. Finansinės prielaidos'!L31-'3. Finansinės prielaidos'!K31)+Q69</f>
        <v>#VALUE!</v>
      </c>
      <c r="S69" s="62" t="e" cm="1">
        <f t="array" ref="S69">SUMPRODUCT(--(2035&gt;'2. Investicijos'!$F$5:$F$7),--(2035&lt;='2. Investicijos'!$F$5:$F$7+'2. Investicijos'!$G$5:$G$7),IFERROR(('2. Investicijos'!$M$5:$M$7+IF('2. Investicijos'!$N$5:$N$7&gt;('2. Investicijos'!$H$5:$H$7*IF('2. Investicijos'!$G$5:$G$7&lt;=35,30%,40%)),'2. Investicijos'!$N$5:$N$7-('2. Investicijos'!$H$5:$H$7*IF('2. Investicijos'!$G$5:$G$7&lt;=35,30%,40%)),0)+('2. Investicijos'!$H$5:$H$7*IF('2. Investicijos'!$G$5:$G$7&lt;=35,30%,40%)))/'2. Investicijos'!$G$5:$G$7,0))+SUMPRODUCT(--(2035&gt;'2. Investicijos'!$F$5:$F$7),--(2035&lt;='2. Investicijos'!$F$5:$F$7+'2. Investicijos'!$G$5:$G$7),IFERROR(('2. Investicijos'!$M$5:$M$7+IF('2. Investicijos'!$N$5:$N$7&gt;('2. Investicijos'!$H$5:$H$7*IF('2. Investicijos'!$G$5:$G$7&lt;=35,30%,40%)),'2. Investicijos'!$N$5:$N$7-('2. Investicijos'!$H$5:$H$7*IF('2. Investicijos'!$G$5:$G$7&lt;=35,30%,40%)),0))*(1-((2035-'2. Investicijos'!$F$5:$F$7)-1)/'2. Investicijos'!$G$5:$G$7),0)*'5. 0% scenarijus'!$C$5)</f>
        <v>#VALUE!</v>
      </c>
      <c r="T69" s="62" t="e">
        <f>'3. Finansinės prielaidos'!L29+S69+G69</f>
        <v>#VALUE!</v>
      </c>
      <c r="U69" s="62" t="e">
        <f t="shared" si="42"/>
        <v>#VALUE!</v>
      </c>
      <c r="V69" s="72" t="e">
        <f t="shared" si="43"/>
        <v>#VALUE!</v>
      </c>
      <c r="W69" s="72" t="e">
        <f t="shared" si="44"/>
        <v>#VALUE!</v>
      </c>
      <c r="X69" s="57" t="e">
        <f t="shared" si="45"/>
        <v>#VALUE!</v>
      </c>
      <c r="Y69" s="57" t="e">
        <f t="shared" si="46"/>
        <v>#VALUE!</v>
      </c>
      <c r="Z69" s="57"/>
      <c r="AA69" s="57"/>
      <c r="AB69" s="57"/>
      <c r="AC69" s="57"/>
      <c r="AD69" s="57"/>
      <c r="AE69" s="57"/>
      <c r="AF69" s="57"/>
      <c r="AG69" s="57"/>
      <c r="AH69" s="57"/>
      <c r="AI69" s="57"/>
      <c r="AJ69" s="57"/>
      <c r="AK69" s="57"/>
      <c r="AL69" s="57"/>
      <c r="AM69" s="57"/>
      <c r="AN69" s="57"/>
      <c r="AO69" s="57"/>
      <c r="AP69" s="57"/>
      <c r="AQ69" s="57"/>
      <c r="AR69" s="57"/>
      <c r="AS69" s="57"/>
    </row>
    <row r="70" spans="1:45">
      <c r="A70" s="57">
        <v>4</v>
      </c>
      <c r="B70" s="57">
        <v>2026</v>
      </c>
      <c r="C70" s="62">
        <f>SUM('4. Metinis CAPEX'!F$9:F$12)</f>
        <v>0</v>
      </c>
      <c r="D70" s="62" cm="1">
        <f t="array" ref="D70">SUMPRODUCT('4. Metinis CAPEX'!F$9:F$12,IFERROR('2. Investicijos'!$N$5:$N$8/'2. Investicijos'!$H$5:$H$8,0))</f>
        <v>0</v>
      </c>
      <c r="E70" s="62" cm="1">
        <f t="array" ref="E70">SUMPRODUCT('4. Metinis CAPEX'!F$9:F$12,IFERROR(('2. Investicijos'!$I$5:$I$8+'2. Investicijos'!$J$5:$J$8+'2. Investicijos'!$K$5:$K$8+'2. Investicijos'!$L$5:$L$8)/'2. Investicijos'!$H$5:$H$8,0))</f>
        <v>0</v>
      </c>
      <c r="F70" s="62" cm="1">
        <f t="array" ref="F70">SUM('2. Investicijos'!$H$5:$H$8*IF('2. Investicijos'!$G$5:$G$8&lt;=35,30%,40%))</f>
        <v>0</v>
      </c>
      <c r="G70" s="62" cm="1">
        <f t="array" ref="G70">IF(AND(2026&gt;=2026,2026&lt;2026+'6. Aprašo scenarijus'!$C$4),SUM('2. Investicijos'!$H$5:$H$8*IF('2. Investicijos'!$G$5:$G$8&lt;=35,30%,40%))/'6. Aprašo scenarijus'!$C$4,0)</f>
        <v>0</v>
      </c>
      <c r="H70" s="62">
        <f t="shared" si="40"/>
        <v>0</v>
      </c>
      <c r="I70" s="62">
        <f>SUM(F$5:F$8)</f>
        <v>0</v>
      </c>
      <c r="J70" s="62">
        <f>0</f>
        <v>0</v>
      </c>
      <c r="K70" s="62">
        <f>SUM(Z$5:Z$8)</f>
        <v>0</v>
      </c>
      <c r="L70" s="62">
        <f>SUM(P$5:P$8)</f>
        <v>0</v>
      </c>
      <c r="M70" s="62">
        <f>SUM(AJ$5:AJ$8)</f>
        <v>0</v>
      </c>
      <c r="N70" s="62">
        <f>'3. Finansinės prielaidos'!C30+M70</f>
        <v>0</v>
      </c>
      <c r="O70" s="62">
        <f>'3. Finansinės prielaidos'!C31</f>
        <v>0</v>
      </c>
      <c r="P70" s="62">
        <f>'3. Finansinės prielaidos'!C32</f>
        <v>0</v>
      </c>
      <c r="Q70" s="62" t="e">
        <f t="shared" si="41"/>
        <v>#VALUE!</v>
      </c>
      <c r="R70" s="62" t="e">
        <f>O70+Q70</f>
        <v>#VALUE!</v>
      </c>
      <c r="S70" s="62" t="e" cm="1">
        <f t="array" ref="S70">SUMPRODUCT(--(2026&gt;'2. Investicijos'!$F$5:$F$8),--(2026&lt;='2. Investicijos'!$F$5:$F$8+'2. Investicijos'!$G$5:$G$8),IFERROR(('2. Investicijos'!$M$5:$M$8+IF('2. Investicijos'!$N$5:$N$8&gt;('2. Investicijos'!$H$5:$H$8*IF('2. Investicijos'!$G$5:$G$8&lt;=35,30%,40%)),'2. Investicijos'!$N$5:$N$8-('2. Investicijos'!$H$5:$H$8*IF('2. Investicijos'!$G$5:$G$8&lt;=35,30%,40%)),0)+('2. Investicijos'!$H$5:$H$8*IF('2. Investicijos'!$G$5:$G$8&lt;=35,30%,40%)))/'2. Investicijos'!$G$5:$G$8,0))+SUMPRODUCT(--(2026&gt;'2. Investicijos'!$F$5:$F$8),--(2026&lt;='2. Investicijos'!$F$5:$F$8+'2. Investicijos'!$G$5:$G$8),IFERROR(('2. Investicijos'!$M$5:$M$8+IF('2. Investicijos'!$N$5:$N$8&gt;('2. Investicijos'!$H$5:$H$8*IF('2. Investicijos'!$G$5:$G$8&lt;=35,30%,40%)),'2. Investicijos'!$N$5:$N$8-('2. Investicijos'!$H$5:$H$8*IF('2. Investicijos'!$G$5:$G$8&lt;=35,30%,40%)),0))*(1-((2026-'2. Investicijos'!$F$5:$F$8)-1)/'2. Investicijos'!$G$5:$G$8),0)*'5. 0% scenarijus'!$C$5)</f>
        <v>#VALUE!</v>
      </c>
      <c r="T70" s="62" t="e">
        <f>'3. Finansinės prielaidos'!C29+S70+G70</f>
        <v>#VALUE!</v>
      </c>
      <c r="U70" s="62" t="e">
        <f t="shared" si="42"/>
        <v>#VALUE!</v>
      </c>
      <c r="V70" s="72" t="e">
        <f t="shared" si="43"/>
        <v>#VALUE!</v>
      </c>
      <c r="W70" s="72" t="e">
        <f t="shared" si="44"/>
        <v>#VALUE!</v>
      </c>
      <c r="X70" s="57" t="e">
        <f t="shared" si="45"/>
        <v>#VALUE!</v>
      </c>
      <c r="Y70" s="57" t="e">
        <f t="shared" si="46"/>
        <v>#VALUE!</v>
      </c>
      <c r="Z70" s="57"/>
      <c r="AA70" s="57"/>
      <c r="AB70" s="57"/>
      <c r="AC70" s="57"/>
      <c r="AD70" s="57"/>
      <c r="AE70" s="57"/>
      <c r="AF70" s="57"/>
      <c r="AG70" s="57"/>
      <c r="AH70" s="57"/>
      <c r="AI70" s="57"/>
      <c r="AJ70" s="57"/>
      <c r="AK70" s="57"/>
      <c r="AL70" s="57"/>
      <c r="AM70" s="57"/>
      <c r="AN70" s="57"/>
      <c r="AO70" s="57"/>
      <c r="AP70" s="57"/>
      <c r="AQ70" s="57"/>
      <c r="AR70" s="57"/>
      <c r="AS70" s="57"/>
    </row>
    <row r="71" spans="1:45">
      <c r="A71" s="57">
        <v>4</v>
      </c>
      <c r="B71" s="57">
        <v>2027</v>
      </c>
      <c r="C71" s="62">
        <f>SUM('4. Metinis CAPEX'!G$9:G$12)</f>
        <v>0</v>
      </c>
      <c r="D71" s="62" cm="1">
        <f t="array" ref="D71">SUMPRODUCT('4. Metinis CAPEX'!G$9:G$12,IFERROR('2. Investicijos'!$N$5:$N$8/'2. Investicijos'!$H$5:$H$8,0))</f>
        <v>0</v>
      </c>
      <c r="E71" s="62" cm="1">
        <f t="array" ref="E71">SUMPRODUCT('4. Metinis CAPEX'!G$9:G$12,IFERROR(('2. Investicijos'!$I$5:$I$8+'2. Investicijos'!$J$5:$J$8+'2. Investicijos'!$K$5:$K$8+'2. Investicijos'!$L$5:$L$8)/'2. Investicijos'!$H$5:$H$8,0))</f>
        <v>0</v>
      </c>
      <c r="F71" s="62" cm="1">
        <f t="array" ref="F71">SUM('2. Investicijos'!$H$5:$H$8*IF('2. Investicijos'!$G$5:$G$8&lt;=35,30%,40%))</f>
        <v>0</v>
      </c>
      <c r="G71" s="62" cm="1">
        <f t="array" ref="G71">IF(AND(2027&gt;=2026,2027&lt;2026+'6. Aprašo scenarijus'!$C$4),SUM('2. Investicijos'!$H$5:$H$8*IF('2. Investicijos'!$G$5:$G$8&lt;=35,30%,40%))/'6. Aprašo scenarijus'!$C$4,0)</f>
        <v>0</v>
      </c>
      <c r="H71" s="62">
        <f t="shared" si="40"/>
        <v>0</v>
      </c>
      <c r="I71" s="62">
        <f>SUM(G$5:G$8)</f>
        <v>0</v>
      </c>
      <c r="J71" s="62" t="e" cm="1">
        <f t="array" ref="J71">K71+L71+MAX(0,-R70)*IFERROR(SUMPRODUCT(IF('2. Investicijos'!$N$5:$N$8&gt;('2. Investicijos'!$H$5:$H$8*IF('2. Investicijos'!$G$5:$G$8&lt;=35,30%,40%)),'2. Investicijos'!$N$5:$N$8-('2. Investicijos'!$H$5:$H$8*IF('2. Investicijos'!$G$5:$G$8&lt;=35,30%,40%)),0),'2. Investicijos'!$O$5:$O$8/100)/SUM(IF('2. Investicijos'!$N$5:$N$8&gt;('2. Investicijos'!$H$5:$H$8*IF('2. Investicijos'!$G$5:$G$8&lt;=35,30%,40%)),'2. Investicijos'!$N$5:$N$8-('2. Investicijos'!$H$5:$H$8*IF('2. Investicijos'!$G$5:$G$8&lt;=35,30%,40%)),0)),0)</f>
        <v>#VALUE!</v>
      </c>
      <c r="K71" s="62">
        <f>SUM(AA$5:AA$8)</f>
        <v>0</v>
      </c>
      <c r="L71" s="62">
        <f>SUM(Q$5:Q$8)</f>
        <v>0</v>
      </c>
      <c r="M71" s="62">
        <f>SUM(AK$5:AK$8)</f>
        <v>0</v>
      </c>
      <c r="N71" s="62">
        <f>'3. Finansinės prielaidos'!D30+M71</f>
        <v>0</v>
      </c>
      <c r="O71" s="62">
        <f>'3. Finansinės prielaidos'!D31</f>
        <v>0</v>
      </c>
      <c r="P71" s="62">
        <f>'3. Finansinės prielaidos'!D32</f>
        <v>0</v>
      </c>
      <c r="Q71" s="62" t="e">
        <f t="shared" si="41"/>
        <v>#VALUE!</v>
      </c>
      <c r="R71" s="62" t="e">
        <f>R70+('3. Finansinės prielaidos'!D31-'3. Finansinės prielaidos'!C31)+Q71</f>
        <v>#VALUE!</v>
      </c>
      <c r="S71" s="62" t="e" cm="1">
        <f t="array" ref="S71">SUMPRODUCT(--(2027&gt;'2. Investicijos'!$F$5:$F$8),--(2027&lt;='2. Investicijos'!$F$5:$F$8+'2. Investicijos'!$G$5:$G$8),IFERROR(('2. Investicijos'!$M$5:$M$8+IF('2. Investicijos'!$N$5:$N$8&gt;('2. Investicijos'!$H$5:$H$8*IF('2. Investicijos'!$G$5:$G$8&lt;=35,30%,40%)),'2. Investicijos'!$N$5:$N$8-('2. Investicijos'!$H$5:$H$8*IF('2. Investicijos'!$G$5:$G$8&lt;=35,30%,40%)),0)+('2. Investicijos'!$H$5:$H$8*IF('2. Investicijos'!$G$5:$G$8&lt;=35,30%,40%)))/'2. Investicijos'!$G$5:$G$8,0))+SUMPRODUCT(--(2027&gt;'2. Investicijos'!$F$5:$F$8),--(2027&lt;='2. Investicijos'!$F$5:$F$8+'2. Investicijos'!$G$5:$G$8),IFERROR(('2. Investicijos'!$M$5:$M$8+IF('2. Investicijos'!$N$5:$N$8&gt;('2. Investicijos'!$H$5:$H$8*IF('2. Investicijos'!$G$5:$G$8&lt;=35,30%,40%)),'2. Investicijos'!$N$5:$N$8-('2. Investicijos'!$H$5:$H$8*IF('2. Investicijos'!$G$5:$G$8&lt;=35,30%,40%)),0))*(1-((2027-'2. Investicijos'!$F$5:$F$8)-1)/'2. Investicijos'!$G$5:$G$8),0)*'5. 0% scenarijus'!$C$5)</f>
        <v>#VALUE!</v>
      </c>
      <c r="T71" s="62" t="e">
        <f>'3. Finansinės prielaidos'!D29+S71+G71</f>
        <v>#VALUE!</v>
      </c>
      <c r="U71" s="62" t="e">
        <f t="shared" si="42"/>
        <v>#VALUE!</v>
      </c>
      <c r="V71" s="72" t="e">
        <f t="shared" si="43"/>
        <v>#VALUE!</v>
      </c>
      <c r="W71" s="72" t="e">
        <f t="shared" si="44"/>
        <v>#VALUE!</v>
      </c>
      <c r="X71" s="57" t="e">
        <f t="shared" si="45"/>
        <v>#VALUE!</v>
      </c>
      <c r="Y71" s="57" t="e">
        <f t="shared" si="46"/>
        <v>#VALUE!</v>
      </c>
      <c r="Z71" s="57"/>
      <c r="AA71" s="57"/>
      <c r="AB71" s="57"/>
      <c r="AC71" s="57"/>
      <c r="AD71" s="57"/>
      <c r="AE71" s="57"/>
      <c r="AF71" s="57"/>
      <c r="AG71" s="57"/>
      <c r="AH71" s="57"/>
      <c r="AI71" s="57"/>
      <c r="AJ71" s="57"/>
      <c r="AK71" s="57"/>
      <c r="AL71" s="57"/>
      <c r="AM71" s="57"/>
      <c r="AN71" s="57"/>
      <c r="AO71" s="57"/>
      <c r="AP71" s="57"/>
      <c r="AQ71" s="57"/>
      <c r="AR71" s="57"/>
      <c r="AS71" s="57"/>
    </row>
    <row r="72" spans="1:45">
      <c r="A72" s="57">
        <v>4</v>
      </c>
      <c r="B72" s="57">
        <v>2028</v>
      </c>
      <c r="C72" s="62">
        <f>SUM('4. Metinis CAPEX'!H$9:H$12)</f>
        <v>0</v>
      </c>
      <c r="D72" s="62" cm="1">
        <f t="array" ref="D72">SUMPRODUCT('4. Metinis CAPEX'!H$9:H$12,IFERROR('2. Investicijos'!$N$5:$N$8/'2. Investicijos'!$H$5:$H$8,0))</f>
        <v>0</v>
      </c>
      <c r="E72" s="62" cm="1">
        <f t="array" ref="E72">SUMPRODUCT('4. Metinis CAPEX'!H$9:H$12,IFERROR(('2. Investicijos'!$I$5:$I$8+'2. Investicijos'!$J$5:$J$8+'2. Investicijos'!$K$5:$K$8+'2. Investicijos'!$L$5:$L$8)/'2. Investicijos'!$H$5:$H$8,0))</f>
        <v>0</v>
      </c>
      <c r="F72" s="62" cm="1">
        <f t="array" ref="F72">SUM('2. Investicijos'!$H$5:$H$8*IF('2. Investicijos'!$G$5:$G$8&lt;=35,30%,40%))</f>
        <v>0</v>
      </c>
      <c r="G72" s="62" cm="1">
        <f t="array" ref="G72">IF(AND(2028&gt;=2026,2028&lt;2026+'6. Aprašo scenarijus'!$C$4),SUM('2. Investicijos'!$H$5:$H$8*IF('2. Investicijos'!$G$5:$G$8&lt;=35,30%,40%))/'6. Aprašo scenarijus'!$C$4,0)</f>
        <v>0</v>
      </c>
      <c r="H72" s="62">
        <f t="shared" ref="H72:H103" si="47">D72-I72</f>
        <v>0</v>
      </c>
      <c r="I72" s="62">
        <f>SUM(H$5:H$8)</f>
        <v>0</v>
      </c>
      <c r="J72" s="62" t="e" cm="1">
        <f t="array" ref="J72">K72+L72+MAX(0,-R71)*IFERROR(SUMPRODUCT(IF('2. Investicijos'!$N$5:$N$8&gt;('2. Investicijos'!$H$5:$H$8*IF('2. Investicijos'!$G$5:$G$8&lt;=35,30%,40%)),'2. Investicijos'!$N$5:$N$8-('2. Investicijos'!$H$5:$H$8*IF('2. Investicijos'!$G$5:$G$8&lt;=35,30%,40%)),0),'2. Investicijos'!$O$5:$O$8/100)/SUM(IF('2. Investicijos'!$N$5:$N$8&gt;('2. Investicijos'!$H$5:$H$8*IF('2. Investicijos'!$G$5:$G$8&lt;=35,30%,40%)),'2. Investicijos'!$N$5:$N$8-('2. Investicijos'!$H$5:$H$8*IF('2. Investicijos'!$G$5:$G$8&lt;=35,30%,40%)),0)),0)</f>
        <v>#VALUE!</v>
      </c>
      <c r="K72" s="62">
        <f>SUM(AB$5:AB$8)</f>
        <v>0</v>
      </c>
      <c r="L72" s="62">
        <f>SUM(R$5:R$8)</f>
        <v>0</v>
      </c>
      <c r="M72" s="62">
        <f>SUM(AL$5:AL$8)</f>
        <v>0</v>
      </c>
      <c r="N72" s="62">
        <f>'3. Finansinės prielaidos'!E30+M72</f>
        <v>0</v>
      </c>
      <c r="O72" s="62">
        <f>'3. Finansinės prielaidos'!E31</f>
        <v>0</v>
      </c>
      <c r="P72" s="62">
        <f>'3. Finansinės prielaidos'!E32</f>
        <v>0</v>
      </c>
      <c r="Q72" s="62" t="e">
        <f t="shared" ref="Q72:Q103" si="48">S72+G72+I72+E72-C72-J72</f>
        <v>#VALUE!</v>
      </c>
      <c r="R72" s="62" t="e">
        <f>R71+('3. Finansinės prielaidos'!E31-'3. Finansinės prielaidos'!D31)+Q72</f>
        <v>#VALUE!</v>
      </c>
      <c r="S72" s="62" t="e" cm="1">
        <f t="array" ref="S72">SUMPRODUCT(--(2028&gt;'2. Investicijos'!$F$5:$F$8),--(2028&lt;='2. Investicijos'!$F$5:$F$8+'2. Investicijos'!$G$5:$G$8),IFERROR(('2. Investicijos'!$M$5:$M$8+IF('2. Investicijos'!$N$5:$N$8&gt;('2. Investicijos'!$H$5:$H$8*IF('2. Investicijos'!$G$5:$G$8&lt;=35,30%,40%)),'2. Investicijos'!$N$5:$N$8-('2. Investicijos'!$H$5:$H$8*IF('2. Investicijos'!$G$5:$G$8&lt;=35,30%,40%)),0)+('2. Investicijos'!$H$5:$H$8*IF('2. Investicijos'!$G$5:$G$8&lt;=35,30%,40%)))/'2. Investicijos'!$G$5:$G$8,0))+SUMPRODUCT(--(2028&gt;'2. Investicijos'!$F$5:$F$8),--(2028&lt;='2. Investicijos'!$F$5:$F$8+'2. Investicijos'!$G$5:$G$8),IFERROR(('2. Investicijos'!$M$5:$M$8+IF('2. Investicijos'!$N$5:$N$8&gt;('2. Investicijos'!$H$5:$H$8*IF('2. Investicijos'!$G$5:$G$8&lt;=35,30%,40%)),'2. Investicijos'!$N$5:$N$8-('2. Investicijos'!$H$5:$H$8*IF('2. Investicijos'!$G$5:$G$8&lt;=35,30%,40%)),0))*(1-((2028-'2. Investicijos'!$F$5:$F$8)-1)/'2. Investicijos'!$G$5:$G$8),0)*'5. 0% scenarijus'!$C$5)</f>
        <v>#VALUE!</v>
      </c>
      <c r="T72" s="62" t="e">
        <f>'3. Finansinės prielaidos'!E29+S72+G72</f>
        <v>#VALUE!</v>
      </c>
      <c r="U72" s="62" t="e">
        <f t="shared" ref="U72:U103" si="49">N72-R72</f>
        <v>#VALUE!</v>
      </c>
      <c r="V72" s="72" t="e">
        <f t="shared" ref="V72:V103" si="50">IF(OR(T72="",T72&lt;=0),"",U72/T72)</f>
        <v>#VALUE!</v>
      </c>
      <c r="W72" s="72" t="e">
        <f t="shared" ref="W72:W103" si="51">IF(T72&lt;=0,"",IF(P72+J72=0,999999,T72/(P72+J72)))</f>
        <v>#VALUE!</v>
      </c>
      <c r="X72" s="57" t="e">
        <f t="shared" ref="X72:X103" si="52">IF(OR(V72="",W72=""),"",IF(AND(V72&lt;=5.5,W72&gt;=1.2),"ATITINKA","NEATITINKA"))</f>
        <v>#VALUE!</v>
      </c>
      <c r="Y72" s="57" t="e">
        <f t="shared" ref="Y72:Y103" si="53">IF(X72&lt;&gt;"NEATITINKA","",IF(T72&lt;=0,"EBITDA ≤ 0",IF(AND(V72&gt;5.5,W72&lt;1.2),"Abu",IF(V72&gt;5.5,"Net Debt / EBITDA","DSCR"))))</f>
        <v>#VALUE!</v>
      </c>
      <c r="Z72" s="57"/>
      <c r="AA72" s="57"/>
      <c r="AB72" s="57"/>
      <c r="AC72" s="57"/>
      <c r="AD72" s="57"/>
      <c r="AE72" s="57"/>
      <c r="AF72" s="57"/>
      <c r="AG72" s="57"/>
      <c r="AH72" s="57"/>
      <c r="AI72" s="57"/>
      <c r="AJ72" s="57"/>
      <c r="AK72" s="57"/>
      <c r="AL72" s="57"/>
      <c r="AM72" s="57"/>
      <c r="AN72" s="57"/>
      <c r="AO72" s="57"/>
      <c r="AP72" s="57"/>
      <c r="AQ72" s="57"/>
      <c r="AR72" s="57"/>
      <c r="AS72" s="57"/>
    </row>
    <row r="73" spans="1:45">
      <c r="A73" s="57">
        <v>4</v>
      </c>
      <c r="B73" s="57">
        <v>2029</v>
      </c>
      <c r="C73" s="62">
        <f>SUM('4. Metinis CAPEX'!I$9:I$12)</f>
        <v>0</v>
      </c>
      <c r="D73" s="62" cm="1">
        <f t="array" ref="D73">SUMPRODUCT('4. Metinis CAPEX'!I$9:I$12,IFERROR('2. Investicijos'!$N$5:$N$8/'2. Investicijos'!$H$5:$H$8,0))</f>
        <v>0</v>
      </c>
      <c r="E73" s="62" cm="1">
        <f t="array" ref="E73">SUMPRODUCT('4. Metinis CAPEX'!I$9:I$12,IFERROR(('2. Investicijos'!$I$5:$I$8+'2. Investicijos'!$J$5:$J$8+'2. Investicijos'!$K$5:$K$8+'2. Investicijos'!$L$5:$L$8)/'2. Investicijos'!$H$5:$H$8,0))</f>
        <v>0</v>
      </c>
      <c r="F73" s="62" cm="1">
        <f t="array" ref="F73">SUM('2. Investicijos'!$H$5:$H$8*IF('2. Investicijos'!$G$5:$G$8&lt;=35,30%,40%))</f>
        <v>0</v>
      </c>
      <c r="G73" s="62" cm="1">
        <f t="array" ref="G73">IF(AND(2029&gt;=2026,2029&lt;2026+'6. Aprašo scenarijus'!$C$4),SUM('2. Investicijos'!$H$5:$H$8*IF('2. Investicijos'!$G$5:$G$8&lt;=35,30%,40%))/'6. Aprašo scenarijus'!$C$4,0)</f>
        <v>0</v>
      </c>
      <c r="H73" s="62">
        <f t="shared" si="47"/>
        <v>0</v>
      </c>
      <c r="I73" s="62">
        <f>SUM(I$5:I$8)</f>
        <v>0</v>
      </c>
      <c r="J73" s="62" t="e" cm="1">
        <f t="array" ref="J73">K73+L73+MAX(0,-R72)*IFERROR(SUMPRODUCT(IF('2. Investicijos'!$N$5:$N$8&gt;('2. Investicijos'!$H$5:$H$8*IF('2. Investicijos'!$G$5:$G$8&lt;=35,30%,40%)),'2. Investicijos'!$N$5:$N$8-('2. Investicijos'!$H$5:$H$8*IF('2. Investicijos'!$G$5:$G$8&lt;=35,30%,40%)),0),'2. Investicijos'!$O$5:$O$8/100)/SUM(IF('2. Investicijos'!$N$5:$N$8&gt;('2. Investicijos'!$H$5:$H$8*IF('2. Investicijos'!$G$5:$G$8&lt;=35,30%,40%)),'2. Investicijos'!$N$5:$N$8-('2. Investicijos'!$H$5:$H$8*IF('2. Investicijos'!$G$5:$G$8&lt;=35,30%,40%)),0)),0)</f>
        <v>#VALUE!</v>
      </c>
      <c r="K73" s="62">
        <f>SUM(AC$5:AC$8)</f>
        <v>0</v>
      </c>
      <c r="L73" s="62">
        <f>SUM(S$5:S$8)</f>
        <v>0</v>
      </c>
      <c r="M73" s="62">
        <f>SUM(AM$5:AM$8)</f>
        <v>0</v>
      </c>
      <c r="N73" s="62">
        <f>'3. Finansinės prielaidos'!F30+M73</f>
        <v>0</v>
      </c>
      <c r="O73" s="62">
        <f>'3. Finansinės prielaidos'!F31</f>
        <v>0</v>
      </c>
      <c r="P73" s="62">
        <f>'3. Finansinės prielaidos'!F32</f>
        <v>0</v>
      </c>
      <c r="Q73" s="62" t="e">
        <f t="shared" si="48"/>
        <v>#VALUE!</v>
      </c>
      <c r="R73" s="62" t="e">
        <f>R72+('3. Finansinės prielaidos'!F31-'3. Finansinės prielaidos'!E31)+Q73</f>
        <v>#VALUE!</v>
      </c>
      <c r="S73" s="62" t="e" cm="1">
        <f t="array" ref="S73">SUMPRODUCT(--(2029&gt;'2. Investicijos'!$F$5:$F$8),--(2029&lt;='2. Investicijos'!$F$5:$F$8+'2. Investicijos'!$G$5:$G$8),IFERROR(('2. Investicijos'!$M$5:$M$8+IF('2. Investicijos'!$N$5:$N$8&gt;('2. Investicijos'!$H$5:$H$8*IF('2. Investicijos'!$G$5:$G$8&lt;=35,30%,40%)),'2. Investicijos'!$N$5:$N$8-('2. Investicijos'!$H$5:$H$8*IF('2. Investicijos'!$G$5:$G$8&lt;=35,30%,40%)),0)+('2. Investicijos'!$H$5:$H$8*IF('2. Investicijos'!$G$5:$G$8&lt;=35,30%,40%)))/'2. Investicijos'!$G$5:$G$8,0))+SUMPRODUCT(--(2029&gt;'2. Investicijos'!$F$5:$F$8),--(2029&lt;='2. Investicijos'!$F$5:$F$8+'2. Investicijos'!$G$5:$G$8),IFERROR(('2. Investicijos'!$M$5:$M$8+IF('2. Investicijos'!$N$5:$N$8&gt;('2. Investicijos'!$H$5:$H$8*IF('2. Investicijos'!$G$5:$G$8&lt;=35,30%,40%)),'2. Investicijos'!$N$5:$N$8-('2. Investicijos'!$H$5:$H$8*IF('2. Investicijos'!$G$5:$G$8&lt;=35,30%,40%)),0))*(1-((2029-'2. Investicijos'!$F$5:$F$8)-1)/'2. Investicijos'!$G$5:$G$8),0)*'5. 0% scenarijus'!$C$5)</f>
        <v>#VALUE!</v>
      </c>
      <c r="T73" s="62" t="e">
        <f>'3. Finansinės prielaidos'!F29+S73+G73</f>
        <v>#VALUE!</v>
      </c>
      <c r="U73" s="62" t="e">
        <f t="shared" si="49"/>
        <v>#VALUE!</v>
      </c>
      <c r="V73" s="72" t="e">
        <f t="shared" si="50"/>
        <v>#VALUE!</v>
      </c>
      <c r="W73" s="72" t="e">
        <f t="shared" si="51"/>
        <v>#VALUE!</v>
      </c>
      <c r="X73" s="57" t="e">
        <f t="shared" si="52"/>
        <v>#VALUE!</v>
      </c>
      <c r="Y73" s="57" t="e">
        <f t="shared" si="53"/>
        <v>#VALUE!</v>
      </c>
      <c r="Z73" s="57"/>
      <c r="AA73" s="57"/>
      <c r="AB73" s="57"/>
      <c r="AC73" s="57"/>
      <c r="AD73" s="57"/>
      <c r="AE73" s="57"/>
      <c r="AF73" s="57"/>
      <c r="AG73" s="57"/>
      <c r="AH73" s="57"/>
      <c r="AI73" s="57"/>
      <c r="AJ73" s="57"/>
      <c r="AK73" s="57"/>
      <c r="AL73" s="57"/>
      <c r="AM73" s="57"/>
      <c r="AN73" s="57"/>
      <c r="AO73" s="57"/>
      <c r="AP73" s="57"/>
      <c r="AQ73" s="57"/>
      <c r="AR73" s="57"/>
      <c r="AS73" s="57"/>
    </row>
    <row r="74" spans="1:45">
      <c r="A74" s="57">
        <v>4</v>
      </c>
      <c r="B74" s="57">
        <v>2030</v>
      </c>
      <c r="C74" s="62">
        <f>SUM('4. Metinis CAPEX'!J$9:J$12)</f>
        <v>0</v>
      </c>
      <c r="D74" s="62" cm="1">
        <f t="array" ref="D74">SUMPRODUCT('4. Metinis CAPEX'!J$9:J$12,IFERROR('2. Investicijos'!$N$5:$N$8/'2. Investicijos'!$H$5:$H$8,0))</f>
        <v>0</v>
      </c>
      <c r="E74" s="62" cm="1">
        <f t="array" ref="E74">SUMPRODUCT('4. Metinis CAPEX'!J$9:J$12,IFERROR(('2. Investicijos'!$I$5:$I$8+'2. Investicijos'!$J$5:$J$8+'2. Investicijos'!$K$5:$K$8+'2. Investicijos'!$L$5:$L$8)/'2. Investicijos'!$H$5:$H$8,0))</f>
        <v>0</v>
      </c>
      <c r="F74" s="62" cm="1">
        <f t="array" ref="F74">SUM('2. Investicijos'!$H$5:$H$8*IF('2. Investicijos'!$G$5:$G$8&lt;=35,30%,40%))</f>
        <v>0</v>
      </c>
      <c r="G74" s="62" cm="1">
        <f t="array" ref="G74">IF(AND(2030&gt;=2026,2030&lt;2026+'6. Aprašo scenarijus'!$C$4),SUM('2. Investicijos'!$H$5:$H$8*IF('2. Investicijos'!$G$5:$G$8&lt;=35,30%,40%))/'6. Aprašo scenarijus'!$C$4,0)</f>
        <v>0</v>
      </c>
      <c r="H74" s="62">
        <f t="shared" si="47"/>
        <v>0</v>
      </c>
      <c r="I74" s="62">
        <f>SUM(J$5:J$8)</f>
        <v>0</v>
      </c>
      <c r="J74" s="62" t="e" cm="1">
        <f t="array" ref="J74">K74+L74+MAX(0,-R73)*IFERROR(SUMPRODUCT(IF('2. Investicijos'!$N$5:$N$8&gt;('2. Investicijos'!$H$5:$H$8*IF('2. Investicijos'!$G$5:$G$8&lt;=35,30%,40%)),'2. Investicijos'!$N$5:$N$8-('2. Investicijos'!$H$5:$H$8*IF('2. Investicijos'!$G$5:$G$8&lt;=35,30%,40%)),0),'2. Investicijos'!$O$5:$O$8/100)/SUM(IF('2. Investicijos'!$N$5:$N$8&gt;('2. Investicijos'!$H$5:$H$8*IF('2. Investicijos'!$G$5:$G$8&lt;=35,30%,40%)),'2. Investicijos'!$N$5:$N$8-('2. Investicijos'!$H$5:$H$8*IF('2. Investicijos'!$G$5:$G$8&lt;=35,30%,40%)),0)),0)</f>
        <v>#VALUE!</v>
      </c>
      <c r="K74" s="62">
        <f>SUM(AD$5:AD$8)</f>
        <v>0</v>
      </c>
      <c r="L74" s="62">
        <f>SUM(T$5:T$8)</f>
        <v>0</v>
      </c>
      <c r="M74" s="62">
        <f>SUM(AN$5:AN$8)</f>
        <v>0</v>
      </c>
      <c r="N74" s="62">
        <f>'3. Finansinės prielaidos'!G30+M74</f>
        <v>0</v>
      </c>
      <c r="O74" s="62">
        <f>'3. Finansinės prielaidos'!G31</f>
        <v>0</v>
      </c>
      <c r="P74" s="62">
        <f>'3. Finansinės prielaidos'!G32</f>
        <v>0</v>
      </c>
      <c r="Q74" s="62" t="e">
        <f t="shared" si="48"/>
        <v>#VALUE!</v>
      </c>
      <c r="R74" s="62" t="e">
        <f>R73+('3. Finansinės prielaidos'!G31-'3. Finansinės prielaidos'!F31)+Q74</f>
        <v>#VALUE!</v>
      </c>
      <c r="S74" s="62" t="e" cm="1">
        <f t="array" ref="S74">SUMPRODUCT(--(2030&gt;'2. Investicijos'!$F$5:$F$8),--(2030&lt;='2. Investicijos'!$F$5:$F$8+'2. Investicijos'!$G$5:$G$8),IFERROR(('2. Investicijos'!$M$5:$M$8+IF('2. Investicijos'!$N$5:$N$8&gt;('2. Investicijos'!$H$5:$H$8*IF('2. Investicijos'!$G$5:$G$8&lt;=35,30%,40%)),'2. Investicijos'!$N$5:$N$8-('2. Investicijos'!$H$5:$H$8*IF('2. Investicijos'!$G$5:$G$8&lt;=35,30%,40%)),0)+('2. Investicijos'!$H$5:$H$8*IF('2. Investicijos'!$G$5:$G$8&lt;=35,30%,40%)))/'2. Investicijos'!$G$5:$G$8,0))+SUMPRODUCT(--(2030&gt;'2. Investicijos'!$F$5:$F$8),--(2030&lt;='2. Investicijos'!$F$5:$F$8+'2. Investicijos'!$G$5:$G$8),IFERROR(('2. Investicijos'!$M$5:$M$8+IF('2. Investicijos'!$N$5:$N$8&gt;('2. Investicijos'!$H$5:$H$8*IF('2. Investicijos'!$G$5:$G$8&lt;=35,30%,40%)),'2. Investicijos'!$N$5:$N$8-('2. Investicijos'!$H$5:$H$8*IF('2. Investicijos'!$G$5:$G$8&lt;=35,30%,40%)),0))*(1-((2030-'2. Investicijos'!$F$5:$F$8)-1)/'2. Investicijos'!$G$5:$G$8),0)*'5. 0% scenarijus'!$C$5)</f>
        <v>#VALUE!</v>
      </c>
      <c r="T74" s="62" t="e">
        <f>'3. Finansinės prielaidos'!G29+S74+G74</f>
        <v>#VALUE!</v>
      </c>
      <c r="U74" s="62" t="e">
        <f t="shared" si="49"/>
        <v>#VALUE!</v>
      </c>
      <c r="V74" s="72" t="e">
        <f t="shared" si="50"/>
        <v>#VALUE!</v>
      </c>
      <c r="W74" s="72" t="e">
        <f t="shared" si="51"/>
        <v>#VALUE!</v>
      </c>
      <c r="X74" s="57" t="e">
        <f t="shared" si="52"/>
        <v>#VALUE!</v>
      </c>
      <c r="Y74" s="57" t="e">
        <f t="shared" si="53"/>
        <v>#VALUE!</v>
      </c>
      <c r="Z74" s="57"/>
      <c r="AA74" s="57"/>
      <c r="AB74" s="57"/>
      <c r="AC74" s="57"/>
      <c r="AD74" s="57"/>
      <c r="AE74" s="57"/>
      <c r="AF74" s="57"/>
      <c r="AG74" s="57"/>
      <c r="AH74" s="57"/>
      <c r="AI74" s="57"/>
      <c r="AJ74" s="57"/>
      <c r="AK74" s="57"/>
      <c r="AL74" s="57"/>
      <c r="AM74" s="57"/>
      <c r="AN74" s="57"/>
      <c r="AO74" s="57"/>
      <c r="AP74" s="57"/>
      <c r="AQ74" s="57"/>
      <c r="AR74" s="57"/>
      <c r="AS74" s="57"/>
    </row>
    <row r="75" spans="1:45">
      <c r="A75" s="57">
        <v>4</v>
      </c>
      <c r="B75" s="57">
        <v>2031</v>
      </c>
      <c r="C75" s="62">
        <f>SUM('4. Metinis CAPEX'!K$9:K$12)</f>
        <v>0</v>
      </c>
      <c r="D75" s="62" cm="1">
        <f t="array" ref="D75">SUMPRODUCT('4. Metinis CAPEX'!K$9:K$12,IFERROR('2. Investicijos'!$N$5:$N$8/'2. Investicijos'!$H$5:$H$8,0))</f>
        <v>0</v>
      </c>
      <c r="E75" s="62" cm="1">
        <f t="array" ref="E75">SUMPRODUCT('4. Metinis CAPEX'!K$9:K$12,IFERROR(('2. Investicijos'!$I$5:$I$8+'2. Investicijos'!$J$5:$J$8+'2. Investicijos'!$K$5:$K$8+'2. Investicijos'!$L$5:$L$8)/'2. Investicijos'!$H$5:$H$8,0))</f>
        <v>0</v>
      </c>
      <c r="F75" s="62" cm="1">
        <f t="array" ref="F75">SUM('2. Investicijos'!$H$5:$H$8*IF('2. Investicijos'!$G$5:$G$8&lt;=35,30%,40%))</f>
        <v>0</v>
      </c>
      <c r="G75" s="62" cm="1">
        <f t="array" ref="G75">IF(AND(2031&gt;=2026,2031&lt;2026+'6. Aprašo scenarijus'!$C$4),SUM('2. Investicijos'!$H$5:$H$8*IF('2. Investicijos'!$G$5:$G$8&lt;=35,30%,40%))/'6. Aprašo scenarijus'!$C$4,0)</f>
        <v>0</v>
      </c>
      <c r="H75" s="62">
        <f t="shared" si="47"/>
        <v>0</v>
      </c>
      <c r="I75" s="62">
        <f>SUM(K$5:K$8)</f>
        <v>0</v>
      </c>
      <c r="J75" s="62" t="e" cm="1">
        <f t="array" ref="J75">K75+L75+MAX(0,-R74)*IFERROR(SUMPRODUCT(IF('2. Investicijos'!$N$5:$N$8&gt;('2. Investicijos'!$H$5:$H$8*IF('2. Investicijos'!$G$5:$G$8&lt;=35,30%,40%)),'2. Investicijos'!$N$5:$N$8-('2. Investicijos'!$H$5:$H$8*IF('2. Investicijos'!$G$5:$G$8&lt;=35,30%,40%)),0),'2. Investicijos'!$O$5:$O$8/100)/SUM(IF('2. Investicijos'!$N$5:$N$8&gt;('2. Investicijos'!$H$5:$H$8*IF('2. Investicijos'!$G$5:$G$8&lt;=35,30%,40%)),'2. Investicijos'!$N$5:$N$8-('2. Investicijos'!$H$5:$H$8*IF('2. Investicijos'!$G$5:$G$8&lt;=35,30%,40%)),0)),0)</f>
        <v>#VALUE!</v>
      </c>
      <c r="K75" s="62">
        <f>SUM(AE$5:AE$8)</f>
        <v>0</v>
      </c>
      <c r="L75" s="62">
        <f>SUM(U$5:U$8)</f>
        <v>0</v>
      </c>
      <c r="M75" s="62">
        <f>SUM(AO$5:AO$8)</f>
        <v>0</v>
      </c>
      <c r="N75" s="62">
        <f>'3. Finansinės prielaidos'!H30+M75</f>
        <v>0</v>
      </c>
      <c r="O75" s="62">
        <f>'3. Finansinės prielaidos'!H31</f>
        <v>0</v>
      </c>
      <c r="P75" s="62">
        <f>'3. Finansinės prielaidos'!H32</f>
        <v>0</v>
      </c>
      <c r="Q75" s="62" t="e">
        <f t="shared" si="48"/>
        <v>#VALUE!</v>
      </c>
      <c r="R75" s="62" t="e">
        <f>R74+('3. Finansinės prielaidos'!H31-'3. Finansinės prielaidos'!G31)+Q75</f>
        <v>#VALUE!</v>
      </c>
      <c r="S75" s="62" t="e" cm="1">
        <f t="array" ref="S75">SUMPRODUCT(--(2031&gt;'2. Investicijos'!$F$5:$F$8),--(2031&lt;='2. Investicijos'!$F$5:$F$8+'2. Investicijos'!$G$5:$G$8),IFERROR(('2. Investicijos'!$M$5:$M$8+IF('2. Investicijos'!$N$5:$N$8&gt;('2. Investicijos'!$H$5:$H$8*IF('2. Investicijos'!$G$5:$G$8&lt;=35,30%,40%)),'2. Investicijos'!$N$5:$N$8-('2. Investicijos'!$H$5:$H$8*IF('2. Investicijos'!$G$5:$G$8&lt;=35,30%,40%)),0)+('2. Investicijos'!$H$5:$H$8*IF('2. Investicijos'!$G$5:$G$8&lt;=35,30%,40%)))/'2. Investicijos'!$G$5:$G$8,0))+SUMPRODUCT(--(2031&gt;'2. Investicijos'!$F$5:$F$8),--(2031&lt;='2. Investicijos'!$F$5:$F$8+'2. Investicijos'!$G$5:$G$8),IFERROR(('2. Investicijos'!$M$5:$M$8+IF('2. Investicijos'!$N$5:$N$8&gt;('2. Investicijos'!$H$5:$H$8*IF('2. Investicijos'!$G$5:$G$8&lt;=35,30%,40%)),'2. Investicijos'!$N$5:$N$8-('2. Investicijos'!$H$5:$H$8*IF('2. Investicijos'!$G$5:$G$8&lt;=35,30%,40%)),0))*(1-((2031-'2. Investicijos'!$F$5:$F$8)-1)/'2. Investicijos'!$G$5:$G$8),0)*'5. 0% scenarijus'!$C$5)</f>
        <v>#VALUE!</v>
      </c>
      <c r="T75" s="62" t="e">
        <f>'3. Finansinės prielaidos'!H29+S75+G75</f>
        <v>#VALUE!</v>
      </c>
      <c r="U75" s="62" t="e">
        <f t="shared" si="49"/>
        <v>#VALUE!</v>
      </c>
      <c r="V75" s="72" t="e">
        <f t="shared" si="50"/>
        <v>#VALUE!</v>
      </c>
      <c r="W75" s="72" t="e">
        <f t="shared" si="51"/>
        <v>#VALUE!</v>
      </c>
      <c r="X75" s="57" t="e">
        <f t="shared" si="52"/>
        <v>#VALUE!</v>
      </c>
      <c r="Y75" s="57" t="e">
        <f t="shared" si="53"/>
        <v>#VALUE!</v>
      </c>
      <c r="Z75" s="57"/>
      <c r="AA75" s="57"/>
      <c r="AB75" s="57"/>
      <c r="AC75" s="57"/>
      <c r="AD75" s="57"/>
      <c r="AE75" s="57"/>
      <c r="AF75" s="57"/>
      <c r="AG75" s="57"/>
      <c r="AH75" s="57"/>
      <c r="AI75" s="57"/>
      <c r="AJ75" s="57"/>
      <c r="AK75" s="57"/>
      <c r="AL75" s="57"/>
      <c r="AM75" s="57"/>
      <c r="AN75" s="57"/>
      <c r="AO75" s="57"/>
      <c r="AP75" s="57"/>
      <c r="AQ75" s="57"/>
      <c r="AR75" s="57"/>
      <c r="AS75" s="57"/>
    </row>
    <row r="76" spans="1:45">
      <c r="A76" s="57">
        <v>4</v>
      </c>
      <c r="B76" s="57">
        <v>2032</v>
      </c>
      <c r="C76" s="62">
        <f>SUM('4. Metinis CAPEX'!L$9:L$12)</f>
        <v>0</v>
      </c>
      <c r="D76" s="62" cm="1">
        <f t="array" ref="D76">SUMPRODUCT('4. Metinis CAPEX'!L$9:L$12,IFERROR('2. Investicijos'!$N$5:$N$8/'2. Investicijos'!$H$5:$H$8,0))</f>
        <v>0</v>
      </c>
      <c r="E76" s="62" cm="1">
        <f t="array" ref="E76">SUMPRODUCT('4. Metinis CAPEX'!L$9:L$12,IFERROR(('2. Investicijos'!$I$5:$I$8+'2. Investicijos'!$J$5:$J$8+'2. Investicijos'!$K$5:$K$8+'2. Investicijos'!$L$5:$L$8)/'2. Investicijos'!$H$5:$H$8,0))</f>
        <v>0</v>
      </c>
      <c r="F76" s="62" cm="1">
        <f t="array" ref="F76">SUM('2. Investicijos'!$H$5:$H$8*IF('2. Investicijos'!$G$5:$G$8&lt;=35,30%,40%))</f>
        <v>0</v>
      </c>
      <c r="G76" s="62" cm="1">
        <f t="array" ref="G76">IF(AND(2032&gt;=2026,2032&lt;2026+'6. Aprašo scenarijus'!$C$4),SUM('2. Investicijos'!$H$5:$H$8*IF('2. Investicijos'!$G$5:$G$8&lt;=35,30%,40%))/'6. Aprašo scenarijus'!$C$4,0)</f>
        <v>0</v>
      </c>
      <c r="H76" s="62">
        <f t="shared" si="47"/>
        <v>0</v>
      </c>
      <c r="I76" s="62">
        <f>SUM(L$5:L$8)</f>
        <v>0</v>
      </c>
      <c r="J76" s="62" t="e" cm="1">
        <f t="array" ref="J76">K76+L76+MAX(0,-R75)*IFERROR(SUMPRODUCT(IF('2. Investicijos'!$N$5:$N$8&gt;('2. Investicijos'!$H$5:$H$8*IF('2. Investicijos'!$G$5:$G$8&lt;=35,30%,40%)),'2. Investicijos'!$N$5:$N$8-('2. Investicijos'!$H$5:$H$8*IF('2. Investicijos'!$G$5:$G$8&lt;=35,30%,40%)),0),'2. Investicijos'!$O$5:$O$8/100)/SUM(IF('2. Investicijos'!$N$5:$N$8&gt;('2. Investicijos'!$H$5:$H$8*IF('2. Investicijos'!$G$5:$G$8&lt;=35,30%,40%)),'2. Investicijos'!$N$5:$N$8-('2. Investicijos'!$H$5:$H$8*IF('2. Investicijos'!$G$5:$G$8&lt;=35,30%,40%)),0)),0)</f>
        <v>#VALUE!</v>
      </c>
      <c r="K76" s="62">
        <f>SUM(AF$5:AF$8)</f>
        <v>0</v>
      </c>
      <c r="L76" s="62">
        <f>SUM(V$5:V$8)</f>
        <v>0</v>
      </c>
      <c r="M76" s="62">
        <f>SUM(AP$5:AP$8)</f>
        <v>0</v>
      </c>
      <c r="N76" s="62">
        <f>'3. Finansinės prielaidos'!I30+M76</f>
        <v>0</v>
      </c>
      <c r="O76" s="62">
        <f>'3. Finansinės prielaidos'!I31</f>
        <v>0</v>
      </c>
      <c r="P76" s="62">
        <f>'3. Finansinės prielaidos'!I32</f>
        <v>0</v>
      </c>
      <c r="Q76" s="62" t="e">
        <f t="shared" si="48"/>
        <v>#VALUE!</v>
      </c>
      <c r="R76" s="62" t="e">
        <f>R75+('3. Finansinės prielaidos'!I31-'3. Finansinės prielaidos'!H31)+Q76</f>
        <v>#VALUE!</v>
      </c>
      <c r="S76" s="62" t="e" cm="1">
        <f t="array" ref="S76">SUMPRODUCT(--(2032&gt;'2. Investicijos'!$F$5:$F$8),--(2032&lt;='2. Investicijos'!$F$5:$F$8+'2. Investicijos'!$G$5:$G$8),IFERROR(('2. Investicijos'!$M$5:$M$8+IF('2. Investicijos'!$N$5:$N$8&gt;('2. Investicijos'!$H$5:$H$8*IF('2. Investicijos'!$G$5:$G$8&lt;=35,30%,40%)),'2. Investicijos'!$N$5:$N$8-('2. Investicijos'!$H$5:$H$8*IF('2. Investicijos'!$G$5:$G$8&lt;=35,30%,40%)),0)+('2. Investicijos'!$H$5:$H$8*IF('2. Investicijos'!$G$5:$G$8&lt;=35,30%,40%)))/'2. Investicijos'!$G$5:$G$8,0))+SUMPRODUCT(--(2032&gt;'2. Investicijos'!$F$5:$F$8),--(2032&lt;='2. Investicijos'!$F$5:$F$8+'2. Investicijos'!$G$5:$G$8),IFERROR(('2. Investicijos'!$M$5:$M$8+IF('2. Investicijos'!$N$5:$N$8&gt;('2. Investicijos'!$H$5:$H$8*IF('2. Investicijos'!$G$5:$G$8&lt;=35,30%,40%)),'2. Investicijos'!$N$5:$N$8-('2. Investicijos'!$H$5:$H$8*IF('2. Investicijos'!$G$5:$G$8&lt;=35,30%,40%)),0))*(1-((2032-'2. Investicijos'!$F$5:$F$8)-1)/'2. Investicijos'!$G$5:$G$8),0)*'5. 0% scenarijus'!$C$5)</f>
        <v>#VALUE!</v>
      </c>
      <c r="T76" s="62" t="e">
        <f>'3. Finansinės prielaidos'!I29+S76+G76</f>
        <v>#VALUE!</v>
      </c>
      <c r="U76" s="62" t="e">
        <f t="shared" si="49"/>
        <v>#VALUE!</v>
      </c>
      <c r="V76" s="72" t="e">
        <f t="shared" si="50"/>
        <v>#VALUE!</v>
      </c>
      <c r="W76" s="72" t="e">
        <f t="shared" si="51"/>
        <v>#VALUE!</v>
      </c>
      <c r="X76" s="57" t="e">
        <f t="shared" si="52"/>
        <v>#VALUE!</v>
      </c>
      <c r="Y76" s="57" t="e">
        <f t="shared" si="53"/>
        <v>#VALUE!</v>
      </c>
      <c r="Z76" s="57"/>
      <c r="AA76" s="57"/>
      <c r="AB76" s="57"/>
      <c r="AC76" s="57"/>
      <c r="AD76" s="57"/>
      <c r="AE76" s="57"/>
      <c r="AF76" s="57"/>
      <c r="AG76" s="57"/>
      <c r="AH76" s="57"/>
      <c r="AI76" s="57"/>
      <c r="AJ76" s="57"/>
      <c r="AK76" s="57"/>
      <c r="AL76" s="57"/>
      <c r="AM76" s="57"/>
      <c r="AN76" s="57"/>
      <c r="AO76" s="57"/>
      <c r="AP76" s="57"/>
      <c r="AQ76" s="57"/>
      <c r="AR76" s="57"/>
      <c r="AS76" s="57"/>
    </row>
    <row r="77" spans="1:45">
      <c r="A77" s="57">
        <v>4</v>
      </c>
      <c r="B77" s="57">
        <v>2033</v>
      </c>
      <c r="C77" s="62">
        <f>SUM('4. Metinis CAPEX'!M$9:M$12)</f>
        <v>0</v>
      </c>
      <c r="D77" s="62" cm="1">
        <f t="array" ref="D77">SUMPRODUCT('4. Metinis CAPEX'!M$9:M$12,IFERROR('2. Investicijos'!$N$5:$N$8/'2. Investicijos'!$H$5:$H$8,0))</f>
        <v>0</v>
      </c>
      <c r="E77" s="62" cm="1">
        <f t="array" ref="E77">SUMPRODUCT('4. Metinis CAPEX'!M$9:M$12,IFERROR(('2. Investicijos'!$I$5:$I$8+'2. Investicijos'!$J$5:$J$8+'2. Investicijos'!$K$5:$K$8+'2. Investicijos'!$L$5:$L$8)/'2. Investicijos'!$H$5:$H$8,0))</f>
        <v>0</v>
      </c>
      <c r="F77" s="62" cm="1">
        <f t="array" ref="F77">SUM('2. Investicijos'!$H$5:$H$8*IF('2. Investicijos'!$G$5:$G$8&lt;=35,30%,40%))</f>
        <v>0</v>
      </c>
      <c r="G77" s="62" cm="1">
        <f t="array" ref="G77">IF(AND(2033&gt;=2026,2033&lt;2026+'6. Aprašo scenarijus'!$C$4),SUM('2. Investicijos'!$H$5:$H$8*IF('2. Investicijos'!$G$5:$G$8&lt;=35,30%,40%))/'6. Aprašo scenarijus'!$C$4,0)</f>
        <v>0</v>
      </c>
      <c r="H77" s="62">
        <f t="shared" si="47"/>
        <v>0</v>
      </c>
      <c r="I77" s="62">
        <f>SUM(M$5:M$8)</f>
        <v>0</v>
      </c>
      <c r="J77" s="62" t="e" cm="1">
        <f t="array" ref="J77">K77+L77+MAX(0,-R76)*IFERROR(SUMPRODUCT(IF('2. Investicijos'!$N$5:$N$8&gt;('2. Investicijos'!$H$5:$H$8*IF('2. Investicijos'!$G$5:$G$8&lt;=35,30%,40%)),'2. Investicijos'!$N$5:$N$8-('2. Investicijos'!$H$5:$H$8*IF('2. Investicijos'!$G$5:$G$8&lt;=35,30%,40%)),0),'2. Investicijos'!$O$5:$O$8/100)/SUM(IF('2. Investicijos'!$N$5:$N$8&gt;('2. Investicijos'!$H$5:$H$8*IF('2. Investicijos'!$G$5:$G$8&lt;=35,30%,40%)),'2. Investicijos'!$N$5:$N$8-('2. Investicijos'!$H$5:$H$8*IF('2. Investicijos'!$G$5:$G$8&lt;=35,30%,40%)),0)),0)</f>
        <v>#VALUE!</v>
      </c>
      <c r="K77" s="62">
        <f>SUM(AG$5:AG$8)</f>
        <v>0</v>
      </c>
      <c r="L77" s="62">
        <f>SUM(W$5:W$8)</f>
        <v>0</v>
      </c>
      <c r="M77" s="62">
        <f>SUM(AQ$5:AQ$8)</f>
        <v>0</v>
      </c>
      <c r="N77" s="62">
        <f>'3. Finansinės prielaidos'!J30+M77</f>
        <v>0</v>
      </c>
      <c r="O77" s="62">
        <f>'3. Finansinės prielaidos'!J31</f>
        <v>0</v>
      </c>
      <c r="P77" s="62">
        <f>'3. Finansinės prielaidos'!J32</f>
        <v>0</v>
      </c>
      <c r="Q77" s="62" t="e">
        <f t="shared" si="48"/>
        <v>#VALUE!</v>
      </c>
      <c r="R77" s="62" t="e">
        <f>R76+('3. Finansinės prielaidos'!J31-'3. Finansinės prielaidos'!I31)+Q77</f>
        <v>#VALUE!</v>
      </c>
      <c r="S77" s="62" t="e" cm="1">
        <f t="array" ref="S77">SUMPRODUCT(--(2033&gt;'2. Investicijos'!$F$5:$F$8),--(2033&lt;='2. Investicijos'!$F$5:$F$8+'2. Investicijos'!$G$5:$G$8),IFERROR(('2. Investicijos'!$M$5:$M$8+IF('2. Investicijos'!$N$5:$N$8&gt;('2. Investicijos'!$H$5:$H$8*IF('2. Investicijos'!$G$5:$G$8&lt;=35,30%,40%)),'2. Investicijos'!$N$5:$N$8-('2. Investicijos'!$H$5:$H$8*IF('2. Investicijos'!$G$5:$G$8&lt;=35,30%,40%)),0)+('2. Investicijos'!$H$5:$H$8*IF('2. Investicijos'!$G$5:$G$8&lt;=35,30%,40%)))/'2. Investicijos'!$G$5:$G$8,0))+SUMPRODUCT(--(2033&gt;'2. Investicijos'!$F$5:$F$8),--(2033&lt;='2. Investicijos'!$F$5:$F$8+'2. Investicijos'!$G$5:$G$8),IFERROR(('2. Investicijos'!$M$5:$M$8+IF('2. Investicijos'!$N$5:$N$8&gt;('2. Investicijos'!$H$5:$H$8*IF('2. Investicijos'!$G$5:$G$8&lt;=35,30%,40%)),'2. Investicijos'!$N$5:$N$8-('2. Investicijos'!$H$5:$H$8*IF('2. Investicijos'!$G$5:$G$8&lt;=35,30%,40%)),0))*(1-((2033-'2. Investicijos'!$F$5:$F$8)-1)/'2. Investicijos'!$G$5:$G$8),0)*'5. 0% scenarijus'!$C$5)</f>
        <v>#VALUE!</v>
      </c>
      <c r="T77" s="62" t="e">
        <f>'3. Finansinės prielaidos'!J29+S77+G77</f>
        <v>#VALUE!</v>
      </c>
      <c r="U77" s="62" t="e">
        <f t="shared" si="49"/>
        <v>#VALUE!</v>
      </c>
      <c r="V77" s="72" t="e">
        <f t="shared" si="50"/>
        <v>#VALUE!</v>
      </c>
      <c r="W77" s="72" t="e">
        <f t="shared" si="51"/>
        <v>#VALUE!</v>
      </c>
      <c r="X77" s="57" t="e">
        <f t="shared" si="52"/>
        <v>#VALUE!</v>
      </c>
      <c r="Y77" s="57" t="e">
        <f t="shared" si="53"/>
        <v>#VALUE!</v>
      </c>
      <c r="Z77" s="57"/>
      <c r="AA77" s="57"/>
      <c r="AB77" s="57"/>
      <c r="AC77" s="57"/>
      <c r="AD77" s="57"/>
      <c r="AE77" s="57"/>
      <c r="AF77" s="57"/>
      <c r="AG77" s="57"/>
      <c r="AH77" s="57"/>
      <c r="AI77" s="57"/>
      <c r="AJ77" s="57"/>
      <c r="AK77" s="57"/>
      <c r="AL77" s="57"/>
      <c r="AM77" s="57"/>
      <c r="AN77" s="57"/>
      <c r="AO77" s="57"/>
      <c r="AP77" s="57"/>
      <c r="AQ77" s="57"/>
      <c r="AR77" s="57"/>
      <c r="AS77" s="57"/>
    </row>
    <row r="78" spans="1:45">
      <c r="A78" s="57">
        <v>4</v>
      </c>
      <c r="B78" s="57">
        <v>2034</v>
      </c>
      <c r="C78" s="62">
        <f>SUM('4. Metinis CAPEX'!N$9:N$12)</f>
        <v>0</v>
      </c>
      <c r="D78" s="62" cm="1">
        <f t="array" ref="D78">SUMPRODUCT('4. Metinis CAPEX'!N$9:N$12,IFERROR('2. Investicijos'!$N$5:$N$8/'2. Investicijos'!$H$5:$H$8,0))</f>
        <v>0</v>
      </c>
      <c r="E78" s="62" cm="1">
        <f t="array" ref="E78">SUMPRODUCT('4. Metinis CAPEX'!N$9:N$12,IFERROR(('2. Investicijos'!$I$5:$I$8+'2. Investicijos'!$J$5:$J$8+'2. Investicijos'!$K$5:$K$8+'2. Investicijos'!$L$5:$L$8)/'2. Investicijos'!$H$5:$H$8,0))</f>
        <v>0</v>
      </c>
      <c r="F78" s="62" cm="1">
        <f t="array" ref="F78">SUM('2. Investicijos'!$H$5:$H$8*IF('2. Investicijos'!$G$5:$G$8&lt;=35,30%,40%))</f>
        <v>0</v>
      </c>
      <c r="G78" s="62" cm="1">
        <f t="array" ref="G78">IF(AND(2034&gt;=2026,2034&lt;2026+'6. Aprašo scenarijus'!$C$4),SUM('2. Investicijos'!$H$5:$H$8*IF('2. Investicijos'!$G$5:$G$8&lt;=35,30%,40%))/'6. Aprašo scenarijus'!$C$4,0)</f>
        <v>0</v>
      </c>
      <c r="H78" s="62">
        <f t="shared" si="47"/>
        <v>0</v>
      </c>
      <c r="I78" s="62">
        <f>SUM(N$5:N$8)</f>
        <v>0</v>
      </c>
      <c r="J78" s="62" t="e" cm="1">
        <f t="array" ref="J78">K78+L78+MAX(0,-R77)*IFERROR(SUMPRODUCT(IF('2. Investicijos'!$N$5:$N$8&gt;('2. Investicijos'!$H$5:$H$8*IF('2. Investicijos'!$G$5:$G$8&lt;=35,30%,40%)),'2. Investicijos'!$N$5:$N$8-('2. Investicijos'!$H$5:$H$8*IF('2. Investicijos'!$G$5:$G$8&lt;=35,30%,40%)),0),'2. Investicijos'!$O$5:$O$8/100)/SUM(IF('2. Investicijos'!$N$5:$N$8&gt;('2. Investicijos'!$H$5:$H$8*IF('2. Investicijos'!$G$5:$G$8&lt;=35,30%,40%)),'2. Investicijos'!$N$5:$N$8-('2. Investicijos'!$H$5:$H$8*IF('2. Investicijos'!$G$5:$G$8&lt;=35,30%,40%)),0)),0)</f>
        <v>#VALUE!</v>
      </c>
      <c r="K78" s="62">
        <f>SUM(AH$5:AH$8)</f>
        <v>0</v>
      </c>
      <c r="L78" s="62">
        <f>SUM(X$5:X$8)</f>
        <v>0</v>
      </c>
      <c r="M78" s="62">
        <f>SUM(AR$5:AR$8)</f>
        <v>0</v>
      </c>
      <c r="N78" s="62">
        <f>'3. Finansinės prielaidos'!K30+M78</f>
        <v>0</v>
      </c>
      <c r="O78" s="62">
        <f>'3. Finansinės prielaidos'!K31</f>
        <v>0</v>
      </c>
      <c r="P78" s="62">
        <f>'3. Finansinės prielaidos'!K32</f>
        <v>0</v>
      </c>
      <c r="Q78" s="62" t="e">
        <f t="shared" si="48"/>
        <v>#VALUE!</v>
      </c>
      <c r="R78" s="62" t="e">
        <f>R77+('3. Finansinės prielaidos'!K31-'3. Finansinės prielaidos'!J31)+Q78</f>
        <v>#VALUE!</v>
      </c>
      <c r="S78" s="62" t="e" cm="1">
        <f t="array" ref="S78">SUMPRODUCT(--(2034&gt;'2. Investicijos'!$F$5:$F$8),--(2034&lt;='2. Investicijos'!$F$5:$F$8+'2. Investicijos'!$G$5:$G$8),IFERROR(('2. Investicijos'!$M$5:$M$8+IF('2. Investicijos'!$N$5:$N$8&gt;('2. Investicijos'!$H$5:$H$8*IF('2. Investicijos'!$G$5:$G$8&lt;=35,30%,40%)),'2. Investicijos'!$N$5:$N$8-('2. Investicijos'!$H$5:$H$8*IF('2. Investicijos'!$G$5:$G$8&lt;=35,30%,40%)),0)+('2. Investicijos'!$H$5:$H$8*IF('2. Investicijos'!$G$5:$G$8&lt;=35,30%,40%)))/'2. Investicijos'!$G$5:$G$8,0))+SUMPRODUCT(--(2034&gt;'2. Investicijos'!$F$5:$F$8),--(2034&lt;='2. Investicijos'!$F$5:$F$8+'2. Investicijos'!$G$5:$G$8),IFERROR(('2. Investicijos'!$M$5:$M$8+IF('2. Investicijos'!$N$5:$N$8&gt;('2. Investicijos'!$H$5:$H$8*IF('2. Investicijos'!$G$5:$G$8&lt;=35,30%,40%)),'2. Investicijos'!$N$5:$N$8-('2. Investicijos'!$H$5:$H$8*IF('2. Investicijos'!$G$5:$G$8&lt;=35,30%,40%)),0))*(1-((2034-'2. Investicijos'!$F$5:$F$8)-1)/'2. Investicijos'!$G$5:$G$8),0)*'5. 0% scenarijus'!$C$5)</f>
        <v>#VALUE!</v>
      </c>
      <c r="T78" s="62" t="e">
        <f>'3. Finansinės prielaidos'!K29+S78+G78</f>
        <v>#VALUE!</v>
      </c>
      <c r="U78" s="62" t="e">
        <f t="shared" si="49"/>
        <v>#VALUE!</v>
      </c>
      <c r="V78" s="72" t="e">
        <f t="shared" si="50"/>
        <v>#VALUE!</v>
      </c>
      <c r="W78" s="72" t="e">
        <f t="shared" si="51"/>
        <v>#VALUE!</v>
      </c>
      <c r="X78" s="57" t="e">
        <f t="shared" si="52"/>
        <v>#VALUE!</v>
      </c>
      <c r="Y78" s="57" t="e">
        <f t="shared" si="53"/>
        <v>#VALUE!</v>
      </c>
      <c r="Z78" s="57"/>
      <c r="AA78" s="57"/>
      <c r="AB78" s="57"/>
      <c r="AC78" s="57"/>
      <c r="AD78" s="57"/>
      <c r="AE78" s="57"/>
      <c r="AF78" s="57"/>
      <c r="AG78" s="57"/>
      <c r="AH78" s="57"/>
      <c r="AI78" s="57"/>
      <c r="AJ78" s="57"/>
      <c r="AK78" s="57"/>
      <c r="AL78" s="57"/>
      <c r="AM78" s="57"/>
      <c r="AN78" s="57"/>
      <c r="AO78" s="57"/>
      <c r="AP78" s="57"/>
      <c r="AQ78" s="57"/>
      <c r="AR78" s="57"/>
      <c r="AS78" s="57"/>
    </row>
    <row r="79" spans="1:45">
      <c r="A79" s="57">
        <v>4</v>
      </c>
      <c r="B79" s="57">
        <v>2035</v>
      </c>
      <c r="C79" s="62">
        <f>SUM('4. Metinis CAPEX'!O$9:O$12)</f>
        <v>0</v>
      </c>
      <c r="D79" s="62" cm="1">
        <f t="array" ref="D79">SUMPRODUCT('4. Metinis CAPEX'!O$9:O$12,IFERROR('2. Investicijos'!$N$5:$N$8/'2. Investicijos'!$H$5:$H$8,0))</f>
        <v>0</v>
      </c>
      <c r="E79" s="62" cm="1">
        <f t="array" ref="E79">SUMPRODUCT('4. Metinis CAPEX'!O$9:O$12,IFERROR(('2. Investicijos'!$I$5:$I$8+'2. Investicijos'!$J$5:$J$8+'2. Investicijos'!$K$5:$K$8+'2. Investicijos'!$L$5:$L$8)/'2. Investicijos'!$H$5:$H$8,0))</f>
        <v>0</v>
      </c>
      <c r="F79" s="62" cm="1">
        <f t="array" ref="F79">SUM('2. Investicijos'!$H$5:$H$8*IF('2. Investicijos'!$G$5:$G$8&lt;=35,30%,40%))</f>
        <v>0</v>
      </c>
      <c r="G79" s="62" cm="1">
        <f t="array" ref="G79">IF(AND(2035&gt;=2026,2035&lt;2026+'6. Aprašo scenarijus'!$C$4),SUM('2. Investicijos'!$H$5:$H$8*IF('2. Investicijos'!$G$5:$G$8&lt;=35,30%,40%))/'6. Aprašo scenarijus'!$C$4,0)</f>
        <v>0</v>
      </c>
      <c r="H79" s="62">
        <f t="shared" si="47"/>
        <v>0</v>
      </c>
      <c r="I79" s="62">
        <f>SUM(O$5:O$8)</f>
        <v>0</v>
      </c>
      <c r="J79" s="62" t="e" cm="1">
        <f t="array" ref="J79">K79+L79+MAX(0,-R78)*IFERROR(SUMPRODUCT(IF('2. Investicijos'!$N$5:$N$8&gt;('2. Investicijos'!$H$5:$H$8*IF('2. Investicijos'!$G$5:$G$8&lt;=35,30%,40%)),'2. Investicijos'!$N$5:$N$8-('2. Investicijos'!$H$5:$H$8*IF('2. Investicijos'!$G$5:$G$8&lt;=35,30%,40%)),0),'2. Investicijos'!$O$5:$O$8/100)/SUM(IF('2. Investicijos'!$N$5:$N$8&gt;('2. Investicijos'!$H$5:$H$8*IF('2. Investicijos'!$G$5:$G$8&lt;=35,30%,40%)),'2. Investicijos'!$N$5:$N$8-('2. Investicijos'!$H$5:$H$8*IF('2. Investicijos'!$G$5:$G$8&lt;=35,30%,40%)),0)),0)</f>
        <v>#VALUE!</v>
      </c>
      <c r="K79" s="62">
        <f>SUM(AI$5:AI$8)</f>
        <v>0</v>
      </c>
      <c r="L79" s="62">
        <f>SUM(Y$5:Y$8)</f>
        <v>0</v>
      </c>
      <c r="M79" s="62">
        <f>SUM(AS$5:AS$8)</f>
        <v>0</v>
      </c>
      <c r="N79" s="62">
        <f>'3. Finansinės prielaidos'!L30+M79</f>
        <v>0</v>
      </c>
      <c r="O79" s="62">
        <f>'3. Finansinės prielaidos'!L31</f>
        <v>0</v>
      </c>
      <c r="P79" s="62">
        <f>'3. Finansinės prielaidos'!L32</f>
        <v>0</v>
      </c>
      <c r="Q79" s="62" t="e">
        <f t="shared" si="48"/>
        <v>#VALUE!</v>
      </c>
      <c r="R79" s="62" t="e">
        <f>R78+('3. Finansinės prielaidos'!L31-'3. Finansinės prielaidos'!K31)+Q79</f>
        <v>#VALUE!</v>
      </c>
      <c r="S79" s="62" t="e" cm="1">
        <f t="array" ref="S79">SUMPRODUCT(--(2035&gt;'2. Investicijos'!$F$5:$F$8),--(2035&lt;='2. Investicijos'!$F$5:$F$8+'2. Investicijos'!$G$5:$G$8),IFERROR(('2. Investicijos'!$M$5:$M$8+IF('2. Investicijos'!$N$5:$N$8&gt;('2. Investicijos'!$H$5:$H$8*IF('2. Investicijos'!$G$5:$G$8&lt;=35,30%,40%)),'2. Investicijos'!$N$5:$N$8-('2. Investicijos'!$H$5:$H$8*IF('2. Investicijos'!$G$5:$G$8&lt;=35,30%,40%)),0)+('2. Investicijos'!$H$5:$H$8*IF('2. Investicijos'!$G$5:$G$8&lt;=35,30%,40%)))/'2. Investicijos'!$G$5:$G$8,0))+SUMPRODUCT(--(2035&gt;'2. Investicijos'!$F$5:$F$8),--(2035&lt;='2. Investicijos'!$F$5:$F$8+'2. Investicijos'!$G$5:$G$8),IFERROR(('2. Investicijos'!$M$5:$M$8+IF('2. Investicijos'!$N$5:$N$8&gt;('2. Investicijos'!$H$5:$H$8*IF('2. Investicijos'!$G$5:$G$8&lt;=35,30%,40%)),'2. Investicijos'!$N$5:$N$8-('2. Investicijos'!$H$5:$H$8*IF('2. Investicijos'!$G$5:$G$8&lt;=35,30%,40%)),0))*(1-((2035-'2. Investicijos'!$F$5:$F$8)-1)/'2. Investicijos'!$G$5:$G$8),0)*'5. 0% scenarijus'!$C$5)</f>
        <v>#VALUE!</v>
      </c>
      <c r="T79" s="62" t="e">
        <f>'3. Finansinės prielaidos'!L29+S79+G79</f>
        <v>#VALUE!</v>
      </c>
      <c r="U79" s="62" t="e">
        <f t="shared" si="49"/>
        <v>#VALUE!</v>
      </c>
      <c r="V79" s="72" t="e">
        <f t="shared" si="50"/>
        <v>#VALUE!</v>
      </c>
      <c r="W79" s="72" t="e">
        <f t="shared" si="51"/>
        <v>#VALUE!</v>
      </c>
      <c r="X79" s="57" t="e">
        <f t="shared" si="52"/>
        <v>#VALUE!</v>
      </c>
      <c r="Y79" s="57" t="e">
        <f t="shared" si="53"/>
        <v>#VALUE!</v>
      </c>
      <c r="Z79" s="57"/>
      <c r="AA79" s="57"/>
      <c r="AB79" s="57"/>
      <c r="AC79" s="57"/>
      <c r="AD79" s="57"/>
      <c r="AE79" s="57"/>
      <c r="AF79" s="57"/>
      <c r="AG79" s="57"/>
      <c r="AH79" s="57"/>
      <c r="AI79" s="57"/>
      <c r="AJ79" s="57"/>
      <c r="AK79" s="57"/>
      <c r="AL79" s="57"/>
      <c r="AM79" s="57"/>
      <c r="AN79" s="57"/>
      <c r="AO79" s="57"/>
      <c r="AP79" s="57"/>
      <c r="AQ79" s="57"/>
      <c r="AR79" s="57"/>
      <c r="AS79" s="57"/>
    </row>
    <row r="80" spans="1:45">
      <c r="A80" s="57">
        <v>5</v>
      </c>
      <c r="B80" s="57">
        <v>2026</v>
      </c>
      <c r="C80" s="62">
        <f>SUM('4. Metinis CAPEX'!F$9:F$13)</f>
        <v>0</v>
      </c>
      <c r="D80" s="62" cm="1">
        <f t="array" ref="D80">SUMPRODUCT('4. Metinis CAPEX'!F$9:F$13,IFERROR('2. Investicijos'!$N$5:$N$9/'2. Investicijos'!$H$5:$H$9,0))</f>
        <v>0</v>
      </c>
      <c r="E80" s="62" cm="1">
        <f t="array" ref="E80">SUMPRODUCT('4. Metinis CAPEX'!F$9:F$13,IFERROR(('2. Investicijos'!$I$5:$I$9+'2. Investicijos'!$J$5:$J$9+'2. Investicijos'!$K$5:$K$9+'2. Investicijos'!$L$5:$L$9)/'2. Investicijos'!$H$5:$H$9,0))</f>
        <v>0</v>
      </c>
      <c r="F80" s="62" cm="1">
        <f t="array" ref="F80">SUM('2. Investicijos'!$H$5:$H$9*IF('2. Investicijos'!$G$5:$G$9&lt;=35,30%,40%))</f>
        <v>0</v>
      </c>
      <c r="G80" s="62" cm="1">
        <f t="array" ref="G80">IF(AND(2026&gt;=2026,2026&lt;2026+'6. Aprašo scenarijus'!$C$4),SUM('2. Investicijos'!$H$5:$H$9*IF('2. Investicijos'!$G$5:$G$9&lt;=35,30%,40%))/'6. Aprašo scenarijus'!$C$4,0)</f>
        <v>0</v>
      </c>
      <c r="H80" s="62">
        <f t="shared" si="47"/>
        <v>0</v>
      </c>
      <c r="I80" s="62">
        <f>SUM(F$5:F$9)</f>
        <v>0</v>
      </c>
      <c r="J80" s="62">
        <f>0</f>
        <v>0</v>
      </c>
      <c r="K80" s="62">
        <f>SUM(Z$5:Z$9)</f>
        <v>0</v>
      </c>
      <c r="L80" s="62">
        <f>SUM(P$5:P$9)</f>
        <v>0</v>
      </c>
      <c r="M80" s="62">
        <f>SUM(AJ$5:AJ$9)</f>
        <v>0</v>
      </c>
      <c r="N80" s="62">
        <f>'3. Finansinės prielaidos'!C30+M80</f>
        <v>0</v>
      </c>
      <c r="O80" s="62">
        <f>'3. Finansinės prielaidos'!C31</f>
        <v>0</v>
      </c>
      <c r="P80" s="62">
        <f>'3. Finansinės prielaidos'!C32</f>
        <v>0</v>
      </c>
      <c r="Q80" s="62" t="e">
        <f t="shared" si="48"/>
        <v>#VALUE!</v>
      </c>
      <c r="R80" s="62" t="e">
        <f>O80+Q80</f>
        <v>#VALUE!</v>
      </c>
      <c r="S80" s="62" t="e" cm="1">
        <f t="array" ref="S80">SUMPRODUCT(--(2026&gt;'2. Investicijos'!$F$5:$F$9),--(2026&lt;='2. Investicijos'!$F$5:$F$9+'2. Investicijos'!$G$5:$G$9),IFERROR(('2. Investicijos'!$M$5:$M$9+IF('2. Investicijos'!$N$5:$N$9&gt;('2. Investicijos'!$H$5:$H$9*IF('2. Investicijos'!$G$5:$G$9&lt;=35,30%,40%)),'2. Investicijos'!$N$5:$N$9-('2. Investicijos'!$H$5:$H$9*IF('2. Investicijos'!$G$5:$G$9&lt;=35,30%,40%)),0)+('2. Investicijos'!$H$5:$H$9*IF('2. Investicijos'!$G$5:$G$9&lt;=35,30%,40%)))/'2. Investicijos'!$G$5:$G$9,0))+SUMPRODUCT(--(2026&gt;'2. Investicijos'!$F$5:$F$9),--(2026&lt;='2. Investicijos'!$F$5:$F$9+'2. Investicijos'!$G$5:$G$9),IFERROR(('2. Investicijos'!$M$5:$M$9+IF('2. Investicijos'!$N$5:$N$9&gt;('2. Investicijos'!$H$5:$H$9*IF('2. Investicijos'!$G$5:$G$9&lt;=35,30%,40%)),'2. Investicijos'!$N$5:$N$9-('2. Investicijos'!$H$5:$H$9*IF('2. Investicijos'!$G$5:$G$9&lt;=35,30%,40%)),0))*(1-((2026-'2. Investicijos'!$F$5:$F$9)-1)/'2. Investicijos'!$G$5:$G$9),0)*'5. 0% scenarijus'!$C$5)</f>
        <v>#VALUE!</v>
      </c>
      <c r="T80" s="62" t="e">
        <f>'3. Finansinės prielaidos'!C29+S80+G80</f>
        <v>#VALUE!</v>
      </c>
      <c r="U80" s="62" t="e">
        <f t="shared" si="49"/>
        <v>#VALUE!</v>
      </c>
      <c r="V80" s="72" t="e">
        <f t="shared" si="50"/>
        <v>#VALUE!</v>
      </c>
      <c r="W80" s="72" t="e">
        <f t="shared" si="51"/>
        <v>#VALUE!</v>
      </c>
      <c r="X80" s="57" t="e">
        <f t="shared" si="52"/>
        <v>#VALUE!</v>
      </c>
      <c r="Y80" s="57" t="e">
        <f t="shared" si="53"/>
        <v>#VALUE!</v>
      </c>
      <c r="Z80" s="57"/>
      <c r="AA80" s="57"/>
      <c r="AB80" s="57"/>
      <c r="AC80" s="57"/>
      <c r="AD80" s="57"/>
      <c r="AE80" s="57"/>
      <c r="AF80" s="57"/>
      <c r="AG80" s="57"/>
      <c r="AH80" s="57"/>
      <c r="AI80" s="57"/>
      <c r="AJ80" s="57"/>
      <c r="AK80" s="57"/>
      <c r="AL80" s="57"/>
      <c r="AM80" s="57"/>
      <c r="AN80" s="57"/>
      <c r="AO80" s="57"/>
      <c r="AP80" s="57"/>
      <c r="AQ80" s="57"/>
      <c r="AR80" s="57"/>
      <c r="AS80" s="57"/>
    </row>
    <row r="81" spans="1:45">
      <c r="A81" s="57">
        <v>5</v>
      </c>
      <c r="B81" s="57">
        <v>2027</v>
      </c>
      <c r="C81" s="62">
        <f>SUM('4. Metinis CAPEX'!G$9:G$13)</f>
        <v>0</v>
      </c>
      <c r="D81" s="62" cm="1">
        <f t="array" ref="D81">SUMPRODUCT('4. Metinis CAPEX'!G$9:G$13,IFERROR('2. Investicijos'!$N$5:$N$9/'2. Investicijos'!$H$5:$H$9,0))</f>
        <v>0</v>
      </c>
      <c r="E81" s="62" cm="1">
        <f t="array" ref="E81">SUMPRODUCT('4. Metinis CAPEX'!G$9:G$13,IFERROR(('2. Investicijos'!$I$5:$I$9+'2. Investicijos'!$J$5:$J$9+'2. Investicijos'!$K$5:$K$9+'2. Investicijos'!$L$5:$L$9)/'2. Investicijos'!$H$5:$H$9,0))</f>
        <v>0</v>
      </c>
      <c r="F81" s="62" cm="1">
        <f t="array" ref="F81">SUM('2. Investicijos'!$H$5:$H$9*IF('2. Investicijos'!$G$5:$G$9&lt;=35,30%,40%))</f>
        <v>0</v>
      </c>
      <c r="G81" s="62" cm="1">
        <f t="array" ref="G81">IF(AND(2027&gt;=2026,2027&lt;2026+'6. Aprašo scenarijus'!$C$4),SUM('2. Investicijos'!$H$5:$H$9*IF('2. Investicijos'!$G$5:$G$9&lt;=35,30%,40%))/'6. Aprašo scenarijus'!$C$4,0)</f>
        <v>0</v>
      </c>
      <c r="H81" s="62">
        <f t="shared" si="47"/>
        <v>0</v>
      </c>
      <c r="I81" s="62">
        <f>SUM(G$5:G$9)</f>
        <v>0</v>
      </c>
      <c r="J81" s="62" t="e" cm="1">
        <f t="array" ref="J81">K81+L81+MAX(0,-R80)*IFERROR(SUMPRODUCT(IF('2. Investicijos'!$N$5:$N$9&gt;('2. Investicijos'!$H$5:$H$9*IF('2. Investicijos'!$G$5:$G$9&lt;=35,30%,40%)),'2. Investicijos'!$N$5:$N$9-('2. Investicijos'!$H$5:$H$9*IF('2. Investicijos'!$G$5:$G$9&lt;=35,30%,40%)),0),'2. Investicijos'!$O$5:$O$9/100)/SUM(IF('2. Investicijos'!$N$5:$N$9&gt;('2. Investicijos'!$H$5:$H$9*IF('2. Investicijos'!$G$5:$G$9&lt;=35,30%,40%)),'2. Investicijos'!$N$5:$N$9-('2. Investicijos'!$H$5:$H$9*IF('2. Investicijos'!$G$5:$G$9&lt;=35,30%,40%)),0)),0)</f>
        <v>#VALUE!</v>
      </c>
      <c r="K81" s="62">
        <f>SUM(AA$5:AA$9)</f>
        <v>0</v>
      </c>
      <c r="L81" s="62">
        <f>SUM(Q$5:Q$9)</f>
        <v>0</v>
      </c>
      <c r="M81" s="62">
        <f>SUM(AK$5:AK$9)</f>
        <v>0</v>
      </c>
      <c r="N81" s="62">
        <f>'3. Finansinės prielaidos'!D30+M81</f>
        <v>0</v>
      </c>
      <c r="O81" s="62">
        <f>'3. Finansinės prielaidos'!D31</f>
        <v>0</v>
      </c>
      <c r="P81" s="62">
        <f>'3. Finansinės prielaidos'!D32</f>
        <v>0</v>
      </c>
      <c r="Q81" s="62" t="e">
        <f t="shared" si="48"/>
        <v>#VALUE!</v>
      </c>
      <c r="R81" s="62" t="e">
        <f>R80+('3. Finansinės prielaidos'!D31-'3. Finansinės prielaidos'!C31)+Q81</f>
        <v>#VALUE!</v>
      </c>
      <c r="S81" s="62" t="e" cm="1">
        <f t="array" ref="S81">SUMPRODUCT(--(2027&gt;'2. Investicijos'!$F$5:$F$9),--(2027&lt;='2. Investicijos'!$F$5:$F$9+'2. Investicijos'!$G$5:$G$9),IFERROR(('2. Investicijos'!$M$5:$M$9+IF('2. Investicijos'!$N$5:$N$9&gt;('2. Investicijos'!$H$5:$H$9*IF('2. Investicijos'!$G$5:$G$9&lt;=35,30%,40%)),'2. Investicijos'!$N$5:$N$9-('2. Investicijos'!$H$5:$H$9*IF('2. Investicijos'!$G$5:$G$9&lt;=35,30%,40%)),0)+('2. Investicijos'!$H$5:$H$9*IF('2. Investicijos'!$G$5:$G$9&lt;=35,30%,40%)))/'2. Investicijos'!$G$5:$G$9,0))+SUMPRODUCT(--(2027&gt;'2. Investicijos'!$F$5:$F$9),--(2027&lt;='2. Investicijos'!$F$5:$F$9+'2. Investicijos'!$G$5:$G$9),IFERROR(('2. Investicijos'!$M$5:$M$9+IF('2. Investicijos'!$N$5:$N$9&gt;('2. Investicijos'!$H$5:$H$9*IF('2. Investicijos'!$G$5:$G$9&lt;=35,30%,40%)),'2. Investicijos'!$N$5:$N$9-('2. Investicijos'!$H$5:$H$9*IF('2. Investicijos'!$G$5:$G$9&lt;=35,30%,40%)),0))*(1-((2027-'2. Investicijos'!$F$5:$F$9)-1)/'2. Investicijos'!$G$5:$G$9),0)*'5. 0% scenarijus'!$C$5)</f>
        <v>#VALUE!</v>
      </c>
      <c r="T81" s="62" t="e">
        <f>'3. Finansinės prielaidos'!D29+S81+G81</f>
        <v>#VALUE!</v>
      </c>
      <c r="U81" s="62" t="e">
        <f t="shared" si="49"/>
        <v>#VALUE!</v>
      </c>
      <c r="V81" s="72" t="e">
        <f t="shared" si="50"/>
        <v>#VALUE!</v>
      </c>
      <c r="W81" s="72" t="e">
        <f t="shared" si="51"/>
        <v>#VALUE!</v>
      </c>
      <c r="X81" s="57" t="e">
        <f t="shared" si="52"/>
        <v>#VALUE!</v>
      </c>
      <c r="Y81" s="57" t="e">
        <f t="shared" si="53"/>
        <v>#VALUE!</v>
      </c>
      <c r="Z81" s="57"/>
      <c r="AA81" s="57"/>
      <c r="AB81" s="57"/>
      <c r="AC81" s="57"/>
      <c r="AD81" s="57"/>
      <c r="AE81" s="57"/>
      <c r="AF81" s="57"/>
      <c r="AG81" s="57"/>
      <c r="AH81" s="57"/>
      <c r="AI81" s="57"/>
      <c r="AJ81" s="57"/>
      <c r="AK81" s="57"/>
      <c r="AL81" s="57"/>
      <c r="AM81" s="57"/>
      <c r="AN81" s="57"/>
      <c r="AO81" s="57"/>
      <c r="AP81" s="57"/>
      <c r="AQ81" s="57"/>
      <c r="AR81" s="57"/>
      <c r="AS81" s="57"/>
    </row>
    <row r="82" spans="1:45">
      <c r="A82" s="57">
        <v>5</v>
      </c>
      <c r="B82" s="57">
        <v>2028</v>
      </c>
      <c r="C82" s="62">
        <f>SUM('4. Metinis CAPEX'!H$9:H$13)</f>
        <v>0</v>
      </c>
      <c r="D82" s="62" cm="1">
        <f t="array" ref="D82">SUMPRODUCT('4. Metinis CAPEX'!H$9:H$13,IFERROR('2. Investicijos'!$N$5:$N$9/'2. Investicijos'!$H$5:$H$9,0))</f>
        <v>0</v>
      </c>
      <c r="E82" s="62" cm="1">
        <f t="array" ref="E82">SUMPRODUCT('4. Metinis CAPEX'!H$9:H$13,IFERROR(('2. Investicijos'!$I$5:$I$9+'2. Investicijos'!$J$5:$J$9+'2. Investicijos'!$K$5:$K$9+'2. Investicijos'!$L$5:$L$9)/'2. Investicijos'!$H$5:$H$9,0))</f>
        <v>0</v>
      </c>
      <c r="F82" s="62" cm="1">
        <f t="array" ref="F82">SUM('2. Investicijos'!$H$5:$H$9*IF('2. Investicijos'!$G$5:$G$9&lt;=35,30%,40%))</f>
        <v>0</v>
      </c>
      <c r="G82" s="62" cm="1">
        <f t="array" ref="G82">IF(AND(2028&gt;=2026,2028&lt;2026+'6. Aprašo scenarijus'!$C$4),SUM('2. Investicijos'!$H$5:$H$9*IF('2. Investicijos'!$G$5:$G$9&lt;=35,30%,40%))/'6. Aprašo scenarijus'!$C$4,0)</f>
        <v>0</v>
      </c>
      <c r="H82" s="62">
        <f t="shared" si="47"/>
        <v>0</v>
      </c>
      <c r="I82" s="62">
        <f>SUM(H$5:H$9)</f>
        <v>0</v>
      </c>
      <c r="J82" s="62" t="e" cm="1">
        <f t="array" ref="J82">K82+L82+MAX(0,-R81)*IFERROR(SUMPRODUCT(IF('2. Investicijos'!$N$5:$N$9&gt;('2. Investicijos'!$H$5:$H$9*IF('2. Investicijos'!$G$5:$G$9&lt;=35,30%,40%)),'2. Investicijos'!$N$5:$N$9-('2. Investicijos'!$H$5:$H$9*IF('2. Investicijos'!$G$5:$G$9&lt;=35,30%,40%)),0),'2. Investicijos'!$O$5:$O$9/100)/SUM(IF('2. Investicijos'!$N$5:$N$9&gt;('2. Investicijos'!$H$5:$H$9*IF('2. Investicijos'!$G$5:$G$9&lt;=35,30%,40%)),'2. Investicijos'!$N$5:$N$9-('2. Investicijos'!$H$5:$H$9*IF('2. Investicijos'!$G$5:$G$9&lt;=35,30%,40%)),0)),0)</f>
        <v>#VALUE!</v>
      </c>
      <c r="K82" s="62">
        <f>SUM(AB$5:AB$9)</f>
        <v>0</v>
      </c>
      <c r="L82" s="62">
        <f>SUM(R$5:R$9)</f>
        <v>0</v>
      </c>
      <c r="M82" s="62">
        <f>SUM(AL$5:AL$9)</f>
        <v>0</v>
      </c>
      <c r="N82" s="62">
        <f>'3. Finansinės prielaidos'!E30+M82</f>
        <v>0</v>
      </c>
      <c r="O82" s="62">
        <f>'3. Finansinės prielaidos'!E31</f>
        <v>0</v>
      </c>
      <c r="P82" s="62">
        <f>'3. Finansinės prielaidos'!E32</f>
        <v>0</v>
      </c>
      <c r="Q82" s="62" t="e">
        <f t="shared" si="48"/>
        <v>#VALUE!</v>
      </c>
      <c r="R82" s="62" t="e">
        <f>R81+('3. Finansinės prielaidos'!E31-'3. Finansinės prielaidos'!D31)+Q82</f>
        <v>#VALUE!</v>
      </c>
      <c r="S82" s="62" t="e" cm="1">
        <f t="array" ref="S82">SUMPRODUCT(--(2028&gt;'2. Investicijos'!$F$5:$F$9),--(2028&lt;='2. Investicijos'!$F$5:$F$9+'2. Investicijos'!$G$5:$G$9),IFERROR(('2. Investicijos'!$M$5:$M$9+IF('2. Investicijos'!$N$5:$N$9&gt;('2. Investicijos'!$H$5:$H$9*IF('2. Investicijos'!$G$5:$G$9&lt;=35,30%,40%)),'2. Investicijos'!$N$5:$N$9-('2. Investicijos'!$H$5:$H$9*IF('2. Investicijos'!$G$5:$G$9&lt;=35,30%,40%)),0)+('2. Investicijos'!$H$5:$H$9*IF('2. Investicijos'!$G$5:$G$9&lt;=35,30%,40%)))/'2. Investicijos'!$G$5:$G$9,0))+SUMPRODUCT(--(2028&gt;'2. Investicijos'!$F$5:$F$9),--(2028&lt;='2. Investicijos'!$F$5:$F$9+'2. Investicijos'!$G$5:$G$9),IFERROR(('2. Investicijos'!$M$5:$M$9+IF('2. Investicijos'!$N$5:$N$9&gt;('2. Investicijos'!$H$5:$H$9*IF('2. Investicijos'!$G$5:$G$9&lt;=35,30%,40%)),'2. Investicijos'!$N$5:$N$9-('2. Investicijos'!$H$5:$H$9*IF('2. Investicijos'!$G$5:$G$9&lt;=35,30%,40%)),0))*(1-((2028-'2. Investicijos'!$F$5:$F$9)-1)/'2. Investicijos'!$G$5:$G$9),0)*'5. 0% scenarijus'!$C$5)</f>
        <v>#VALUE!</v>
      </c>
      <c r="T82" s="62" t="e">
        <f>'3. Finansinės prielaidos'!E29+S82+G82</f>
        <v>#VALUE!</v>
      </c>
      <c r="U82" s="62" t="e">
        <f t="shared" si="49"/>
        <v>#VALUE!</v>
      </c>
      <c r="V82" s="72" t="e">
        <f t="shared" si="50"/>
        <v>#VALUE!</v>
      </c>
      <c r="W82" s="72" t="e">
        <f t="shared" si="51"/>
        <v>#VALUE!</v>
      </c>
      <c r="X82" s="57" t="e">
        <f t="shared" si="52"/>
        <v>#VALUE!</v>
      </c>
      <c r="Y82" s="57" t="e">
        <f t="shared" si="53"/>
        <v>#VALUE!</v>
      </c>
      <c r="Z82" s="57"/>
      <c r="AA82" s="57"/>
      <c r="AB82" s="57"/>
      <c r="AC82" s="57"/>
      <c r="AD82" s="57"/>
      <c r="AE82" s="57"/>
      <c r="AF82" s="57"/>
      <c r="AG82" s="57"/>
      <c r="AH82" s="57"/>
      <c r="AI82" s="57"/>
      <c r="AJ82" s="57"/>
      <c r="AK82" s="57"/>
      <c r="AL82" s="57"/>
      <c r="AM82" s="57"/>
      <c r="AN82" s="57"/>
      <c r="AO82" s="57"/>
      <c r="AP82" s="57"/>
      <c r="AQ82" s="57"/>
      <c r="AR82" s="57"/>
      <c r="AS82" s="57"/>
    </row>
    <row r="83" spans="1:45">
      <c r="A83" s="57">
        <v>5</v>
      </c>
      <c r="B83" s="57">
        <v>2029</v>
      </c>
      <c r="C83" s="62">
        <f>SUM('4. Metinis CAPEX'!I$9:I$13)</f>
        <v>0</v>
      </c>
      <c r="D83" s="62" cm="1">
        <f t="array" ref="D83">SUMPRODUCT('4. Metinis CAPEX'!I$9:I$13,IFERROR('2. Investicijos'!$N$5:$N$9/'2. Investicijos'!$H$5:$H$9,0))</f>
        <v>0</v>
      </c>
      <c r="E83" s="62" cm="1">
        <f t="array" ref="E83">SUMPRODUCT('4. Metinis CAPEX'!I$9:I$13,IFERROR(('2. Investicijos'!$I$5:$I$9+'2. Investicijos'!$J$5:$J$9+'2. Investicijos'!$K$5:$K$9+'2. Investicijos'!$L$5:$L$9)/'2. Investicijos'!$H$5:$H$9,0))</f>
        <v>0</v>
      </c>
      <c r="F83" s="62" cm="1">
        <f t="array" ref="F83">SUM('2. Investicijos'!$H$5:$H$9*IF('2. Investicijos'!$G$5:$G$9&lt;=35,30%,40%))</f>
        <v>0</v>
      </c>
      <c r="G83" s="62" cm="1">
        <f t="array" ref="G83">IF(AND(2029&gt;=2026,2029&lt;2026+'6. Aprašo scenarijus'!$C$4),SUM('2. Investicijos'!$H$5:$H$9*IF('2. Investicijos'!$G$5:$G$9&lt;=35,30%,40%))/'6. Aprašo scenarijus'!$C$4,0)</f>
        <v>0</v>
      </c>
      <c r="H83" s="62">
        <f t="shared" si="47"/>
        <v>0</v>
      </c>
      <c r="I83" s="62">
        <f>SUM(I$5:I$9)</f>
        <v>0</v>
      </c>
      <c r="J83" s="62" t="e" cm="1">
        <f t="array" ref="J83">K83+L83+MAX(0,-R82)*IFERROR(SUMPRODUCT(IF('2. Investicijos'!$N$5:$N$9&gt;('2. Investicijos'!$H$5:$H$9*IF('2. Investicijos'!$G$5:$G$9&lt;=35,30%,40%)),'2. Investicijos'!$N$5:$N$9-('2. Investicijos'!$H$5:$H$9*IF('2. Investicijos'!$G$5:$G$9&lt;=35,30%,40%)),0),'2. Investicijos'!$O$5:$O$9/100)/SUM(IF('2. Investicijos'!$N$5:$N$9&gt;('2. Investicijos'!$H$5:$H$9*IF('2. Investicijos'!$G$5:$G$9&lt;=35,30%,40%)),'2. Investicijos'!$N$5:$N$9-('2. Investicijos'!$H$5:$H$9*IF('2. Investicijos'!$G$5:$G$9&lt;=35,30%,40%)),0)),0)</f>
        <v>#VALUE!</v>
      </c>
      <c r="K83" s="62">
        <f>SUM(AC$5:AC$9)</f>
        <v>0</v>
      </c>
      <c r="L83" s="62">
        <f>SUM(S$5:S$9)</f>
        <v>0</v>
      </c>
      <c r="M83" s="62">
        <f>SUM(AM$5:AM$9)</f>
        <v>0</v>
      </c>
      <c r="N83" s="62">
        <f>'3. Finansinės prielaidos'!F30+M83</f>
        <v>0</v>
      </c>
      <c r="O83" s="62">
        <f>'3. Finansinės prielaidos'!F31</f>
        <v>0</v>
      </c>
      <c r="P83" s="62">
        <f>'3. Finansinės prielaidos'!F32</f>
        <v>0</v>
      </c>
      <c r="Q83" s="62" t="e">
        <f t="shared" si="48"/>
        <v>#VALUE!</v>
      </c>
      <c r="R83" s="62" t="e">
        <f>R82+('3. Finansinės prielaidos'!F31-'3. Finansinės prielaidos'!E31)+Q83</f>
        <v>#VALUE!</v>
      </c>
      <c r="S83" s="62" t="e" cm="1">
        <f t="array" ref="S83">SUMPRODUCT(--(2029&gt;'2. Investicijos'!$F$5:$F$9),--(2029&lt;='2. Investicijos'!$F$5:$F$9+'2. Investicijos'!$G$5:$G$9),IFERROR(('2. Investicijos'!$M$5:$M$9+IF('2. Investicijos'!$N$5:$N$9&gt;('2. Investicijos'!$H$5:$H$9*IF('2. Investicijos'!$G$5:$G$9&lt;=35,30%,40%)),'2. Investicijos'!$N$5:$N$9-('2. Investicijos'!$H$5:$H$9*IF('2. Investicijos'!$G$5:$G$9&lt;=35,30%,40%)),0)+('2. Investicijos'!$H$5:$H$9*IF('2. Investicijos'!$G$5:$G$9&lt;=35,30%,40%)))/'2. Investicijos'!$G$5:$G$9,0))+SUMPRODUCT(--(2029&gt;'2. Investicijos'!$F$5:$F$9),--(2029&lt;='2. Investicijos'!$F$5:$F$9+'2. Investicijos'!$G$5:$G$9),IFERROR(('2. Investicijos'!$M$5:$M$9+IF('2. Investicijos'!$N$5:$N$9&gt;('2. Investicijos'!$H$5:$H$9*IF('2. Investicijos'!$G$5:$G$9&lt;=35,30%,40%)),'2. Investicijos'!$N$5:$N$9-('2. Investicijos'!$H$5:$H$9*IF('2. Investicijos'!$G$5:$G$9&lt;=35,30%,40%)),0))*(1-((2029-'2. Investicijos'!$F$5:$F$9)-1)/'2. Investicijos'!$G$5:$G$9),0)*'5. 0% scenarijus'!$C$5)</f>
        <v>#VALUE!</v>
      </c>
      <c r="T83" s="62" t="e">
        <f>'3. Finansinės prielaidos'!F29+S83+G83</f>
        <v>#VALUE!</v>
      </c>
      <c r="U83" s="62" t="e">
        <f t="shared" si="49"/>
        <v>#VALUE!</v>
      </c>
      <c r="V83" s="72" t="e">
        <f t="shared" si="50"/>
        <v>#VALUE!</v>
      </c>
      <c r="W83" s="72" t="e">
        <f t="shared" si="51"/>
        <v>#VALUE!</v>
      </c>
      <c r="X83" s="57" t="e">
        <f t="shared" si="52"/>
        <v>#VALUE!</v>
      </c>
      <c r="Y83" s="57" t="e">
        <f t="shared" si="53"/>
        <v>#VALUE!</v>
      </c>
      <c r="Z83" s="57"/>
      <c r="AA83" s="57"/>
      <c r="AB83" s="57"/>
      <c r="AC83" s="57"/>
      <c r="AD83" s="57"/>
      <c r="AE83" s="57"/>
      <c r="AF83" s="57"/>
      <c r="AG83" s="57"/>
      <c r="AH83" s="57"/>
      <c r="AI83" s="57"/>
      <c r="AJ83" s="57"/>
      <c r="AK83" s="57"/>
      <c r="AL83" s="57"/>
      <c r="AM83" s="57"/>
      <c r="AN83" s="57"/>
      <c r="AO83" s="57"/>
      <c r="AP83" s="57"/>
      <c r="AQ83" s="57"/>
      <c r="AR83" s="57"/>
      <c r="AS83" s="57"/>
    </row>
    <row r="84" spans="1:45">
      <c r="A84" s="57">
        <v>5</v>
      </c>
      <c r="B84" s="57">
        <v>2030</v>
      </c>
      <c r="C84" s="62">
        <f>SUM('4. Metinis CAPEX'!J$9:J$13)</f>
        <v>0</v>
      </c>
      <c r="D84" s="62" cm="1">
        <f t="array" ref="D84">SUMPRODUCT('4. Metinis CAPEX'!J$9:J$13,IFERROR('2. Investicijos'!$N$5:$N$9/'2. Investicijos'!$H$5:$H$9,0))</f>
        <v>0</v>
      </c>
      <c r="E84" s="62" cm="1">
        <f t="array" ref="E84">SUMPRODUCT('4. Metinis CAPEX'!J$9:J$13,IFERROR(('2. Investicijos'!$I$5:$I$9+'2. Investicijos'!$J$5:$J$9+'2. Investicijos'!$K$5:$K$9+'2. Investicijos'!$L$5:$L$9)/'2. Investicijos'!$H$5:$H$9,0))</f>
        <v>0</v>
      </c>
      <c r="F84" s="62" cm="1">
        <f t="array" ref="F84">SUM('2. Investicijos'!$H$5:$H$9*IF('2. Investicijos'!$G$5:$G$9&lt;=35,30%,40%))</f>
        <v>0</v>
      </c>
      <c r="G84" s="62" cm="1">
        <f t="array" ref="G84">IF(AND(2030&gt;=2026,2030&lt;2026+'6. Aprašo scenarijus'!$C$4),SUM('2. Investicijos'!$H$5:$H$9*IF('2. Investicijos'!$G$5:$G$9&lt;=35,30%,40%))/'6. Aprašo scenarijus'!$C$4,0)</f>
        <v>0</v>
      </c>
      <c r="H84" s="62">
        <f t="shared" si="47"/>
        <v>0</v>
      </c>
      <c r="I84" s="62">
        <f>SUM(J$5:J$9)</f>
        <v>0</v>
      </c>
      <c r="J84" s="62" t="e" cm="1">
        <f t="array" ref="J84">K84+L84+MAX(0,-R83)*IFERROR(SUMPRODUCT(IF('2. Investicijos'!$N$5:$N$9&gt;('2. Investicijos'!$H$5:$H$9*IF('2. Investicijos'!$G$5:$G$9&lt;=35,30%,40%)),'2. Investicijos'!$N$5:$N$9-('2. Investicijos'!$H$5:$H$9*IF('2. Investicijos'!$G$5:$G$9&lt;=35,30%,40%)),0),'2. Investicijos'!$O$5:$O$9/100)/SUM(IF('2. Investicijos'!$N$5:$N$9&gt;('2. Investicijos'!$H$5:$H$9*IF('2. Investicijos'!$G$5:$G$9&lt;=35,30%,40%)),'2. Investicijos'!$N$5:$N$9-('2. Investicijos'!$H$5:$H$9*IF('2. Investicijos'!$G$5:$G$9&lt;=35,30%,40%)),0)),0)</f>
        <v>#VALUE!</v>
      </c>
      <c r="K84" s="62">
        <f>SUM(AD$5:AD$9)</f>
        <v>0</v>
      </c>
      <c r="L84" s="62">
        <f>SUM(T$5:T$9)</f>
        <v>0</v>
      </c>
      <c r="M84" s="62">
        <f>SUM(AN$5:AN$9)</f>
        <v>0</v>
      </c>
      <c r="N84" s="62">
        <f>'3. Finansinės prielaidos'!G30+M84</f>
        <v>0</v>
      </c>
      <c r="O84" s="62">
        <f>'3. Finansinės prielaidos'!G31</f>
        <v>0</v>
      </c>
      <c r="P84" s="62">
        <f>'3. Finansinės prielaidos'!G32</f>
        <v>0</v>
      </c>
      <c r="Q84" s="62" t="e">
        <f t="shared" si="48"/>
        <v>#VALUE!</v>
      </c>
      <c r="R84" s="62" t="e">
        <f>R83+('3. Finansinės prielaidos'!G31-'3. Finansinės prielaidos'!F31)+Q84</f>
        <v>#VALUE!</v>
      </c>
      <c r="S84" s="62" t="e" cm="1">
        <f t="array" ref="S84">SUMPRODUCT(--(2030&gt;'2. Investicijos'!$F$5:$F$9),--(2030&lt;='2. Investicijos'!$F$5:$F$9+'2. Investicijos'!$G$5:$G$9),IFERROR(('2. Investicijos'!$M$5:$M$9+IF('2. Investicijos'!$N$5:$N$9&gt;('2. Investicijos'!$H$5:$H$9*IF('2. Investicijos'!$G$5:$G$9&lt;=35,30%,40%)),'2. Investicijos'!$N$5:$N$9-('2. Investicijos'!$H$5:$H$9*IF('2. Investicijos'!$G$5:$G$9&lt;=35,30%,40%)),0)+('2. Investicijos'!$H$5:$H$9*IF('2. Investicijos'!$G$5:$G$9&lt;=35,30%,40%)))/'2. Investicijos'!$G$5:$G$9,0))+SUMPRODUCT(--(2030&gt;'2. Investicijos'!$F$5:$F$9),--(2030&lt;='2. Investicijos'!$F$5:$F$9+'2. Investicijos'!$G$5:$G$9),IFERROR(('2. Investicijos'!$M$5:$M$9+IF('2. Investicijos'!$N$5:$N$9&gt;('2. Investicijos'!$H$5:$H$9*IF('2. Investicijos'!$G$5:$G$9&lt;=35,30%,40%)),'2. Investicijos'!$N$5:$N$9-('2. Investicijos'!$H$5:$H$9*IF('2. Investicijos'!$G$5:$G$9&lt;=35,30%,40%)),0))*(1-((2030-'2. Investicijos'!$F$5:$F$9)-1)/'2. Investicijos'!$G$5:$G$9),0)*'5. 0% scenarijus'!$C$5)</f>
        <v>#VALUE!</v>
      </c>
      <c r="T84" s="62" t="e">
        <f>'3. Finansinės prielaidos'!G29+S84+G84</f>
        <v>#VALUE!</v>
      </c>
      <c r="U84" s="62" t="e">
        <f t="shared" si="49"/>
        <v>#VALUE!</v>
      </c>
      <c r="V84" s="72" t="e">
        <f t="shared" si="50"/>
        <v>#VALUE!</v>
      </c>
      <c r="W84" s="72" t="e">
        <f t="shared" si="51"/>
        <v>#VALUE!</v>
      </c>
      <c r="X84" s="57" t="e">
        <f t="shared" si="52"/>
        <v>#VALUE!</v>
      </c>
      <c r="Y84" s="57" t="e">
        <f t="shared" si="53"/>
        <v>#VALUE!</v>
      </c>
      <c r="Z84" s="57"/>
      <c r="AA84" s="57"/>
      <c r="AB84" s="57"/>
      <c r="AC84" s="57"/>
      <c r="AD84" s="57"/>
      <c r="AE84" s="57"/>
      <c r="AF84" s="57"/>
      <c r="AG84" s="57"/>
      <c r="AH84" s="57"/>
      <c r="AI84" s="57"/>
      <c r="AJ84" s="57"/>
      <c r="AK84" s="57"/>
      <c r="AL84" s="57"/>
      <c r="AM84" s="57"/>
      <c r="AN84" s="57"/>
      <c r="AO84" s="57"/>
      <c r="AP84" s="57"/>
      <c r="AQ84" s="57"/>
      <c r="AR84" s="57"/>
      <c r="AS84" s="57"/>
    </row>
    <row r="85" spans="1:45">
      <c r="A85" s="57">
        <v>5</v>
      </c>
      <c r="B85" s="57">
        <v>2031</v>
      </c>
      <c r="C85" s="62">
        <f>SUM('4. Metinis CAPEX'!K$9:K$13)</f>
        <v>0</v>
      </c>
      <c r="D85" s="62" cm="1">
        <f t="array" ref="D85">SUMPRODUCT('4. Metinis CAPEX'!K$9:K$13,IFERROR('2. Investicijos'!$N$5:$N$9/'2. Investicijos'!$H$5:$H$9,0))</f>
        <v>0</v>
      </c>
      <c r="E85" s="62" cm="1">
        <f t="array" ref="E85">SUMPRODUCT('4. Metinis CAPEX'!K$9:K$13,IFERROR(('2. Investicijos'!$I$5:$I$9+'2. Investicijos'!$J$5:$J$9+'2. Investicijos'!$K$5:$K$9+'2. Investicijos'!$L$5:$L$9)/'2. Investicijos'!$H$5:$H$9,0))</f>
        <v>0</v>
      </c>
      <c r="F85" s="62" cm="1">
        <f t="array" ref="F85">SUM('2. Investicijos'!$H$5:$H$9*IF('2. Investicijos'!$G$5:$G$9&lt;=35,30%,40%))</f>
        <v>0</v>
      </c>
      <c r="G85" s="62" cm="1">
        <f t="array" ref="G85">IF(AND(2031&gt;=2026,2031&lt;2026+'6. Aprašo scenarijus'!$C$4),SUM('2. Investicijos'!$H$5:$H$9*IF('2. Investicijos'!$G$5:$G$9&lt;=35,30%,40%))/'6. Aprašo scenarijus'!$C$4,0)</f>
        <v>0</v>
      </c>
      <c r="H85" s="62">
        <f t="shared" si="47"/>
        <v>0</v>
      </c>
      <c r="I85" s="62">
        <f>SUM(K$5:K$9)</f>
        <v>0</v>
      </c>
      <c r="J85" s="62" t="e" cm="1">
        <f t="array" ref="J85">K85+L85+MAX(0,-R84)*IFERROR(SUMPRODUCT(IF('2. Investicijos'!$N$5:$N$9&gt;('2. Investicijos'!$H$5:$H$9*IF('2. Investicijos'!$G$5:$G$9&lt;=35,30%,40%)),'2. Investicijos'!$N$5:$N$9-('2. Investicijos'!$H$5:$H$9*IF('2. Investicijos'!$G$5:$G$9&lt;=35,30%,40%)),0),'2. Investicijos'!$O$5:$O$9/100)/SUM(IF('2. Investicijos'!$N$5:$N$9&gt;('2. Investicijos'!$H$5:$H$9*IF('2. Investicijos'!$G$5:$G$9&lt;=35,30%,40%)),'2. Investicijos'!$N$5:$N$9-('2. Investicijos'!$H$5:$H$9*IF('2. Investicijos'!$G$5:$G$9&lt;=35,30%,40%)),0)),0)</f>
        <v>#VALUE!</v>
      </c>
      <c r="K85" s="62">
        <f>SUM(AE$5:AE$9)</f>
        <v>0</v>
      </c>
      <c r="L85" s="62">
        <f>SUM(U$5:U$9)</f>
        <v>0</v>
      </c>
      <c r="M85" s="62">
        <f>SUM(AO$5:AO$9)</f>
        <v>0</v>
      </c>
      <c r="N85" s="62">
        <f>'3. Finansinės prielaidos'!H30+M85</f>
        <v>0</v>
      </c>
      <c r="O85" s="62">
        <f>'3. Finansinės prielaidos'!H31</f>
        <v>0</v>
      </c>
      <c r="P85" s="62">
        <f>'3. Finansinės prielaidos'!H32</f>
        <v>0</v>
      </c>
      <c r="Q85" s="62" t="e">
        <f t="shared" si="48"/>
        <v>#VALUE!</v>
      </c>
      <c r="R85" s="62" t="e">
        <f>R84+('3. Finansinės prielaidos'!H31-'3. Finansinės prielaidos'!G31)+Q85</f>
        <v>#VALUE!</v>
      </c>
      <c r="S85" s="62" t="e" cm="1">
        <f t="array" ref="S85">SUMPRODUCT(--(2031&gt;'2. Investicijos'!$F$5:$F$9),--(2031&lt;='2. Investicijos'!$F$5:$F$9+'2. Investicijos'!$G$5:$G$9),IFERROR(('2. Investicijos'!$M$5:$M$9+IF('2. Investicijos'!$N$5:$N$9&gt;('2. Investicijos'!$H$5:$H$9*IF('2. Investicijos'!$G$5:$G$9&lt;=35,30%,40%)),'2. Investicijos'!$N$5:$N$9-('2. Investicijos'!$H$5:$H$9*IF('2. Investicijos'!$G$5:$G$9&lt;=35,30%,40%)),0)+('2. Investicijos'!$H$5:$H$9*IF('2. Investicijos'!$G$5:$G$9&lt;=35,30%,40%)))/'2. Investicijos'!$G$5:$G$9,0))+SUMPRODUCT(--(2031&gt;'2. Investicijos'!$F$5:$F$9),--(2031&lt;='2. Investicijos'!$F$5:$F$9+'2. Investicijos'!$G$5:$G$9),IFERROR(('2. Investicijos'!$M$5:$M$9+IF('2. Investicijos'!$N$5:$N$9&gt;('2. Investicijos'!$H$5:$H$9*IF('2. Investicijos'!$G$5:$G$9&lt;=35,30%,40%)),'2. Investicijos'!$N$5:$N$9-('2. Investicijos'!$H$5:$H$9*IF('2. Investicijos'!$G$5:$G$9&lt;=35,30%,40%)),0))*(1-((2031-'2. Investicijos'!$F$5:$F$9)-1)/'2. Investicijos'!$G$5:$G$9),0)*'5. 0% scenarijus'!$C$5)</f>
        <v>#VALUE!</v>
      </c>
      <c r="T85" s="62" t="e">
        <f>'3. Finansinės prielaidos'!H29+S85+G85</f>
        <v>#VALUE!</v>
      </c>
      <c r="U85" s="62" t="e">
        <f t="shared" si="49"/>
        <v>#VALUE!</v>
      </c>
      <c r="V85" s="72" t="e">
        <f t="shared" si="50"/>
        <v>#VALUE!</v>
      </c>
      <c r="W85" s="72" t="e">
        <f t="shared" si="51"/>
        <v>#VALUE!</v>
      </c>
      <c r="X85" s="57" t="e">
        <f t="shared" si="52"/>
        <v>#VALUE!</v>
      </c>
      <c r="Y85" s="57" t="e">
        <f t="shared" si="53"/>
        <v>#VALUE!</v>
      </c>
      <c r="Z85" s="57"/>
      <c r="AA85" s="57"/>
      <c r="AB85" s="57"/>
      <c r="AC85" s="57"/>
      <c r="AD85" s="57"/>
      <c r="AE85" s="57"/>
      <c r="AF85" s="57"/>
      <c r="AG85" s="57"/>
      <c r="AH85" s="57"/>
      <c r="AI85" s="57"/>
      <c r="AJ85" s="57"/>
      <c r="AK85" s="57"/>
      <c r="AL85" s="57"/>
      <c r="AM85" s="57"/>
      <c r="AN85" s="57"/>
      <c r="AO85" s="57"/>
      <c r="AP85" s="57"/>
      <c r="AQ85" s="57"/>
      <c r="AR85" s="57"/>
      <c r="AS85" s="57"/>
    </row>
    <row r="86" spans="1:45">
      <c r="A86" s="57">
        <v>5</v>
      </c>
      <c r="B86" s="57">
        <v>2032</v>
      </c>
      <c r="C86" s="62">
        <f>SUM('4. Metinis CAPEX'!L$9:L$13)</f>
        <v>0</v>
      </c>
      <c r="D86" s="62" cm="1">
        <f t="array" ref="D86">SUMPRODUCT('4. Metinis CAPEX'!L$9:L$13,IFERROR('2. Investicijos'!$N$5:$N$9/'2. Investicijos'!$H$5:$H$9,0))</f>
        <v>0</v>
      </c>
      <c r="E86" s="62" cm="1">
        <f t="array" ref="E86">SUMPRODUCT('4. Metinis CAPEX'!L$9:L$13,IFERROR(('2. Investicijos'!$I$5:$I$9+'2. Investicijos'!$J$5:$J$9+'2. Investicijos'!$K$5:$K$9+'2. Investicijos'!$L$5:$L$9)/'2. Investicijos'!$H$5:$H$9,0))</f>
        <v>0</v>
      </c>
      <c r="F86" s="62" cm="1">
        <f t="array" ref="F86">SUM('2. Investicijos'!$H$5:$H$9*IF('2. Investicijos'!$G$5:$G$9&lt;=35,30%,40%))</f>
        <v>0</v>
      </c>
      <c r="G86" s="62" cm="1">
        <f t="array" ref="G86">IF(AND(2032&gt;=2026,2032&lt;2026+'6. Aprašo scenarijus'!$C$4),SUM('2. Investicijos'!$H$5:$H$9*IF('2. Investicijos'!$G$5:$G$9&lt;=35,30%,40%))/'6. Aprašo scenarijus'!$C$4,0)</f>
        <v>0</v>
      </c>
      <c r="H86" s="62">
        <f t="shared" si="47"/>
        <v>0</v>
      </c>
      <c r="I86" s="62">
        <f>SUM(L$5:L$9)</f>
        <v>0</v>
      </c>
      <c r="J86" s="62" t="e" cm="1">
        <f t="array" ref="J86">K86+L86+MAX(0,-R85)*IFERROR(SUMPRODUCT(IF('2. Investicijos'!$N$5:$N$9&gt;('2. Investicijos'!$H$5:$H$9*IF('2. Investicijos'!$G$5:$G$9&lt;=35,30%,40%)),'2. Investicijos'!$N$5:$N$9-('2. Investicijos'!$H$5:$H$9*IF('2. Investicijos'!$G$5:$G$9&lt;=35,30%,40%)),0),'2. Investicijos'!$O$5:$O$9/100)/SUM(IF('2. Investicijos'!$N$5:$N$9&gt;('2. Investicijos'!$H$5:$H$9*IF('2. Investicijos'!$G$5:$G$9&lt;=35,30%,40%)),'2. Investicijos'!$N$5:$N$9-('2. Investicijos'!$H$5:$H$9*IF('2. Investicijos'!$G$5:$G$9&lt;=35,30%,40%)),0)),0)</f>
        <v>#VALUE!</v>
      </c>
      <c r="K86" s="62">
        <f>SUM(AF$5:AF$9)</f>
        <v>0</v>
      </c>
      <c r="L86" s="62">
        <f>SUM(V$5:V$9)</f>
        <v>0</v>
      </c>
      <c r="M86" s="62">
        <f>SUM(AP$5:AP$9)</f>
        <v>0</v>
      </c>
      <c r="N86" s="62">
        <f>'3. Finansinės prielaidos'!I30+M86</f>
        <v>0</v>
      </c>
      <c r="O86" s="62">
        <f>'3. Finansinės prielaidos'!I31</f>
        <v>0</v>
      </c>
      <c r="P86" s="62">
        <f>'3. Finansinės prielaidos'!I32</f>
        <v>0</v>
      </c>
      <c r="Q86" s="62" t="e">
        <f t="shared" si="48"/>
        <v>#VALUE!</v>
      </c>
      <c r="R86" s="62" t="e">
        <f>R85+('3. Finansinės prielaidos'!I31-'3. Finansinės prielaidos'!H31)+Q86</f>
        <v>#VALUE!</v>
      </c>
      <c r="S86" s="62" t="e" cm="1">
        <f t="array" ref="S86">SUMPRODUCT(--(2032&gt;'2. Investicijos'!$F$5:$F$9),--(2032&lt;='2. Investicijos'!$F$5:$F$9+'2. Investicijos'!$G$5:$G$9),IFERROR(('2. Investicijos'!$M$5:$M$9+IF('2. Investicijos'!$N$5:$N$9&gt;('2. Investicijos'!$H$5:$H$9*IF('2. Investicijos'!$G$5:$G$9&lt;=35,30%,40%)),'2. Investicijos'!$N$5:$N$9-('2. Investicijos'!$H$5:$H$9*IF('2. Investicijos'!$G$5:$G$9&lt;=35,30%,40%)),0)+('2. Investicijos'!$H$5:$H$9*IF('2. Investicijos'!$G$5:$G$9&lt;=35,30%,40%)))/'2. Investicijos'!$G$5:$G$9,0))+SUMPRODUCT(--(2032&gt;'2. Investicijos'!$F$5:$F$9),--(2032&lt;='2. Investicijos'!$F$5:$F$9+'2. Investicijos'!$G$5:$G$9),IFERROR(('2. Investicijos'!$M$5:$M$9+IF('2. Investicijos'!$N$5:$N$9&gt;('2. Investicijos'!$H$5:$H$9*IF('2. Investicijos'!$G$5:$G$9&lt;=35,30%,40%)),'2. Investicijos'!$N$5:$N$9-('2. Investicijos'!$H$5:$H$9*IF('2. Investicijos'!$G$5:$G$9&lt;=35,30%,40%)),0))*(1-((2032-'2. Investicijos'!$F$5:$F$9)-1)/'2. Investicijos'!$G$5:$G$9),0)*'5. 0% scenarijus'!$C$5)</f>
        <v>#VALUE!</v>
      </c>
      <c r="T86" s="62" t="e">
        <f>'3. Finansinės prielaidos'!I29+S86+G86</f>
        <v>#VALUE!</v>
      </c>
      <c r="U86" s="62" t="e">
        <f t="shared" si="49"/>
        <v>#VALUE!</v>
      </c>
      <c r="V86" s="72" t="e">
        <f t="shared" si="50"/>
        <v>#VALUE!</v>
      </c>
      <c r="W86" s="72" t="e">
        <f t="shared" si="51"/>
        <v>#VALUE!</v>
      </c>
      <c r="X86" s="57" t="e">
        <f t="shared" si="52"/>
        <v>#VALUE!</v>
      </c>
      <c r="Y86" s="57" t="e">
        <f t="shared" si="53"/>
        <v>#VALUE!</v>
      </c>
      <c r="Z86" s="57"/>
      <c r="AA86" s="57"/>
      <c r="AB86" s="57"/>
      <c r="AC86" s="57"/>
      <c r="AD86" s="57"/>
      <c r="AE86" s="57"/>
      <c r="AF86" s="57"/>
      <c r="AG86" s="57"/>
      <c r="AH86" s="57"/>
      <c r="AI86" s="57"/>
      <c r="AJ86" s="57"/>
      <c r="AK86" s="57"/>
      <c r="AL86" s="57"/>
      <c r="AM86" s="57"/>
      <c r="AN86" s="57"/>
      <c r="AO86" s="57"/>
      <c r="AP86" s="57"/>
      <c r="AQ86" s="57"/>
      <c r="AR86" s="57"/>
      <c r="AS86" s="57"/>
    </row>
    <row r="87" spans="1:45">
      <c r="A87" s="57">
        <v>5</v>
      </c>
      <c r="B87" s="57">
        <v>2033</v>
      </c>
      <c r="C87" s="62">
        <f>SUM('4. Metinis CAPEX'!M$9:M$13)</f>
        <v>0</v>
      </c>
      <c r="D87" s="62" cm="1">
        <f t="array" ref="D87">SUMPRODUCT('4. Metinis CAPEX'!M$9:M$13,IFERROR('2. Investicijos'!$N$5:$N$9/'2. Investicijos'!$H$5:$H$9,0))</f>
        <v>0</v>
      </c>
      <c r="E87" s="62" cm="1">
        <f t="array" ref="E87">SUMPRODUCT('4. Metinis CAPEX'!M$9:M$13,IFERROR(('2. Investicijos'!$I$5:$I$9+'2. Investicijos'!$J$5:$J$9+'2. Investicijos'!$K$5:$K$9+'2. Investicijos'!$L$5:$L$9)/'2. Investicijos'!$H$5:$H$9,0))</f>
        <v>0</v>
      </c>
      <c r="F87" s="62" cm="1">
        <f t="array" ref="F87">SUM('2. Investicijos'!$H$5:$H$9*IF('2. Investicijos'!$G$5:$G$9&lt;=35,30%,40%))</f>
        <v>0</v>
      </c>
      <c r="G87" s="62" cm="1">
        <f t="array" ref="G87">IF(AND(2033&gt;=2026,2033&lt;2026+'6. Aprašo scenarijus'!$C$4),SUM('2. Investicijos'!$H$5:$H$9*IF('2. Investicijos'!$G$5:$G$9&lt;=35,30%,40%))/'6. Aprašo scenarijus'!$C$4,0)</f>
        <v>0</v>
      </c>
      <c r="H87" s="62">
        <f t="shared" si="47"/>
        <v>0</v>
      </c>
      <c r="I87" s="62">
        <f>SUM(M$5:M$9)</f>
        <v>0</v>
      </c>
      <c r="J87" s="62" t="e" cm="1">
        <f t="array" ref="J87">K87+L87+MAX(0,-R86)*IFERROR(SUMPRODUCT(IF('2. Investicijos'!$N$5:$N$9&gt;('2. Investicijos'!$H$5:$H$9*IF('2. Investicijos'!$G$5:$G$9&lt;=35,30%,40%)),'2. Investicijos'!$N$5:$N$9-('2. Investicijos'!$H$5:$H$9*IF('2. Investicijos'!$G$5:$G$9&lt;=35,30%,40%)),0),'2. Investicijos'!$O$5:$O$9/100)/SUM(IF('2. Investicijos'!$N$5:$N$9&gt;('2. Investicijos'!$H$5:$H$9*IF('2. Investicijos'!$G$5:$G$9&lt;=35,30%,40%)),'2. Investicijos'!$N$5:$N$9-('2. Investicijos'!$H$5:$H$9*IF('2. Investicijos'!$G$5:$G$9&lt;=35,30%,40%)),0)),0)</f>
        <v>#VALUE!</v>
      </c>
      <c r="K87" s="62">
        <f>SUM(AG$5:AG$9)</f>
        <v>0</v>
      </c>
      <c r="L87" s="62">
        <f>SUM(W$5:W$9)</f>
        <v>0</v>
      </c>
      <c r="M87" s="62">
        <f>SUM(AQ$5:AQ$9)</f>
        <v>0</v>
      </c>
      <c r="N87" s="62">
        <f>'3. Finansinės prielaidos'!J30+M87</f>
        <v>0</v>
      </c>
      <c r="O87" s="62">
        <f>'3. Finansinės prielaidos'!J31</f>
        <v>0</v>
      </c>
      <c r="P87" s="62">
        <f>'3. Finansinės prielaidos'!J32</f>
        <v>0</v>
      </c>
      <c r="Q87" s="62" t="e">
        <f t="shared" si="48"/>
        <v>#VALUE!</v>
      </c>
      <c r="R87" s="62" t="e">
        <f>R86+('3. Finansinės prielaidos'!J31-'3. Finansinės prielaidos'!I31)+Q87</f>
        <v>#VALUE!</v>
      </c>
      <c r="S87" s="62" t="e" cm="1">
        <f t="array" ref="S87">SUMPRODUCT(--(2033&gt;'2. Investicijos'!$F$5:$F$9),--(2033&lt;='2. Investicijos'!$F$5:$F$9+'2. Investicijos'!$G$5:$G$9),IFERROR(('2. Investicijos'!$M$5:$M$9+IF('2. Investicijos'!$N$5:$N$9&gt;('2. Investicijos'!$H$5:$H$9*IF('2. Investicijos'!$G$5:$G$9&lt;=35,30%,40%)),'2. Investicijos'!$N$5:$N$9-('2. Investicijos'!$H$5:$H$9*IF('2. Investicijos'!$G$5:$G$9&lt;=35,30%,40%)),0)+('2. Investicijos'!$H$5:$H$9*IF('2. Investicijos'!$G$5:$G$9&lt;=35,30%,40%)))/'2. Investicijos'!$G$5:$G$9,0))+SUMPRODUCT(--(2033&gt;'2. Investicijos'!$F$5:$F$9),--(2033&lt;='2. Investicijos'!$F$5:$F$9+'2. Investicijos'!$G$5:$G$9),IFERROR(('2. Investicijos'!$M$5:$M$9+IF('2. Investicijos'!$N$5:$N$9&gt;('2. Investicijos'!$H$5:$H$9*IF('2. Investicijos'!$G$5:$G$9&lt;=35,30%,40%)),'2. Investicijos'!$N$5:$N$9-('2. Investicijos'!$H$5:$H$9*IF('2. Investicijos'!$G$5:$G$9&lt;=35,30%,40%)),0))*(1-((2033-'2. Investicijos'!$F$5:$F$9)-1)/'2. Investicijos'!$G$5:$G$9),0)*'5. 0% scenarijus'!$C$5)</f>
        <v>#VALUE!</v>
      </c>
      <c r="T87" s="62" t="e">
        <f>'3. Finansinės prielaidos'!J29+S87+G87</f>
        <v>#VALUE!</v>
      </c>
      <c r="U87" s="62" t="e">
        <f t="shared" si="49"/>
        <v>#VALUE!</v>
      </c>
      <c r="V87" s="72" t="e">
        <f t="shared" si="50"/>
        <v>#VALUE!</v>
      </c>
      <c r="W87" s="72" t="e">
        <f t="shared" si="51"/>
        <v>#VALUE!</v>
      </c>
      <c r="X87" s="57" t="e">
        <f t="shared" si="52"/>
        <v>#VALUE!</v>
      </c>
      <c r="Y87" s="57" t="e">
        <f t="shared" si="53"/>
        <v>#VALUE!</v>
      </c>
      <c r="Z87" s="57"/>
      <c r="AA87" s="57"/>
      <c r="AB87" s="57"/>
      <c r="AC87" s="57"/>
      <c r="AD87" s="57"/>
      <c r="AE87" s="57"/>
      <c r="AF87" s="57"/>
      <c r="AG87" s="57"/>
      <c r="AH87" s="57"/>
      <c r="AI87" s="57"/>
      <c r="AJ87" s="57"/>
      <c r="AK87" s="57"/>
      <c r="AL87" s="57"/>
      <c r="AM87" s="57"/>
      <c r="AN87" s="57"/>
      <c r="AO87" s="57"/>
      <c r="AP87" s="57"/>
      <c r="AQ87" s="57"/>
      <c r="AR87" s="57"/>
      <c r="AS87" s="57"/>
    </row>
    <row r="88" spans="1:45">
      <c r="A88" s="57">
        <v>5</v>
      </c>
      <c r="B88" s="57">
        <v>2034</v>
      </c>
      <c r="C88" s="62">
        <f>SUM('4. Metinis CAPEX'!N$9:N$13)</f>
        <v>0</v>
      </c>
      <c r="D88" s="62" cm="1">
        <f t="array" ref="D88">SUMPRODUCT('4. Metinis CAPEX'!N$9:N$13,IFERROR('2. Investicijos'!$N$5:$N$9/'2. Investicijos'!$H$5:$H$9,0))</f>
        <v>0</v>
      </c>
      <c r="E88" s="62" cm="1">
        <f t="array" ref="E88">SUMPRODUCT('4. Metinis CAPEX'!N$9:N$13,IFERROR(('2. Investicijos'!$I$5:$I$9+'2. Investicijos'!$J$5:$J$9+'2. Investicijos'!$K$5:$K$9+'2. Investicijos'!$L$5:$L$9)/'2. Investicijos'!$H$5:$H$9,0))</f>
        <v>0</v>
      </c>
      <c r="F88" s="62" cm="1">
        <f t="array" ref="F88">SUM('2. Investicijos'!$H$5:$H$9*IF('2. Investicijos'!$G$5:$G$9&lt;=35,30%,40%))</f>
        <v>0</v>
      </c>
      <c r="G88" s="62" cm="1">
        <f t="array" ref="G88">IF(AND(2034&gt;=2026,2034&lt;2026+'6. Aprašo scenarijus'!$C$4),SUM('2. Investicijos'!$H$5:$H$9*IF('2. Investicijos'!$G$5:$G$9&lt;=35,30%,40%))/'6. Aprašo scenarijus'!$C$4,0)</f>
        <v>0</v>
      </c>
      <c r="H88" s="62">
        <f t="shared" si="47"/>
        <v>0</v>
      </c>
      <c r="I88" s="62">
        <f>SUM(N$5:N$9)</f>
        <v>0</v>
      </c>
      <c r="J88" s="62" t="e" cm="1">
        <f t="array" ref="J88">K88+L88+MAX(0,-R87)*IFERROR(SUMPRODUCT(IF('2. Investicijos'!$N$5:$N$9&gt;('2. Investicijos'!$H$5:$H$9*IF('2. Investicijos'!$G$5:$G$9&lt;=35,30%,40%)),'2. Investicijos'!$N$5:$N$9-('2. Investicijos'!$H$5:$H$9*IF('2. Investicijos'!$G$5:$G$9&lt;=35,30%,40%)),0),'2. Investicijos'!$O$5:$O$9/100)/SUM(IF('2. Investicijos'!$N$5:$N$9&gt;('2. Investicijos'!$H$5:$H$9*IF('2. Investicijos'!$G$5:$G$9&lt;=35,30%,40%)),'2. Investicijos'!$N$5:$N$9-('2. Investicijos'!$H$5:$H$9*IF('2. Investicijos'!$G$5:$G$9&lt;=35,30%,40%)),0)),0)</f>
        <v>#VALUE!</v>
      </c>
      <c r="K88" s="62">
        <f>SUM(AH$5:AH$9)</f>
        <v>0</v>
      </c>
      <c r="L88" s="62">
        <f>SUM(X$5:X$9)</f>
        <v>0</v>
      </c>
      <c r="M88" s="62">
        <f>SUM(AR$5:AR$9)</f>
        <v>0</v>
      </c>
      <c r="N88" s="62">
        <f>'3. Finansinės prielaidos'!K30+M88</f>
        <v>0</v>
      </c>
      <c r="O88" s="62">
        <f>'3. Finansinės prielaidos'!K31</f>
        <v>0</v>
      </c>
      <c r="P88" s="62">
        <f>'3. Finansinės prielaidos'!K32</f>
        <v>0</v>
      </c>
      <c r="Q88" s="62" t="e">
        <f t="shared" si="48"/>
        <v>#VALUE!</v>
      </c>
      <c r="R88" s="62" t="e">
        <f>R87+('3. Finansinės prielaidos'!K31-'3. Finansinės prielaidos'!J31)+Q88</f>
        <v>#VALUE!</v>
      </c>
      <c r="S88" s="62" t="e" cm="1">
        <f t="array" ref="S88">SUMPRODUCT(--(2034&gt;'2. Investicijos'!$F$5:$F$9),--(2034&lt;='2. Investicijos'!$F$5:$F$9+'2. Investicijos'!$G$5:$G$9),IFERROR(('2. Investicijos'!$M$5:$M$9+IF('2. Investicijos'!$N$5:$N$9&gt;('2. Investicijos'!$H$5:$H$9*IF('2. Investicijos'!$G$5:$G$9&lt;=35,30%,40%)),'2. Investicijos'!$N$5:$N$9-('2. Investicijos'!$H$5:$H$9*IF('2. Investicijos'!$G$5:$G$9&lt;=35,30%,40%)),0)+('2. Investicijos'!$H$5:$H$9*IF('2. Investicijos'!$G$5:$G$9&lt;=35,30%,40%)))/'2. Investicijos'!$G$5:$G$9,0))+SUMPRODUCT(--(2034&gt;'2. Investicijos'!$F$5:$F$9),--(2034&lt;='2. Investicijos'!$F$5:$F$9+'2. Investicijos'!$G$5:$G$9),IFERROR(('2. Investicijos'!$M$5:$M$9+IF('2. Investicijos'!$N$5:$N$9&gt;('2. Investicijos'!$H$5:$H$9*IF('2. Investicijos'!$G$5:$G$9&lt;=35,30%,40%)),'2. Investicijos'!$N$5:$N$9-('2. Investicijos'!$H$5:$H$9*IF('2. Investicijos'!$G$5:$G$9&lt;=35,30%,40%)),0))*(1-((2034-'2. Investicijos'!$F$5:$F$9)-1)/'2. Investicijos'!$G$5:$G$9),0)*'5. 0% scenarijus'!$C$5)</f>
        <v>#VALUE!</v>
      </c>
      <c r="T88" s="62" t="e">
        <f>'3. Finansinės prielaidos'!K29+S88+G88</f>
        <v>#VALUE!</v>
      </c>
      <c r="U88" s="62" t="e">
        <f t="shared" si="49"/>
        <v>#VALUE!</v>
      </c>
      <c r="V88" s="72" t="e">
        <f t="shared" si="50"/>
        <v>#VALUE!</v>
      </c>
      <c r="W88" s="72" t="e">
        <f t="shared" si="51"/>
        <v>#VALUE!</v>
      </c>
      <c r="X88" s="57" t="e">
        <f t="shared" si="52"/>
        <v>#VALUE!</v>
      </c>
      <c r="Y88" s="57" t="e">
        <f t="shared" si="53"/>
        <v>#VALUE!</v>
      </c>
      <c r="Z88" s="57"/>
      <c r="AA88" s="57"/>
      <c r="AB88" s="57"/>
      <c r="AC88" s="57"/>
      <c r="AD88" s="57"/>
      <c r="AE88" s="57"/>
      <c r="AF88" s="57"/>
      <c r="AG88" s="57"/>
      <c r="AH88" s="57"/>
      <c r="AI88" s="57"/>
      <c r="AJ88" s="57"/>
      <c r="AK88" s="57"/>
      <c r="AL88" s="57"/>
      <c r="AM88" s="57"/>
      <c r="AN88" s="57"/>
      <c r="AO88" s="57"/>
      <c r="AP88" s="57"/>
      <c r="AQ88" s="57"/>
      <c r="AR88" s="57"/>
      <c r="AS88" s="57"/>
    </row>
    <row r="89" spans="1:45">
      <c r="A89" s="57">
        <v>5</v>
      </c>
      <c r="B89" s="57">
        <v>2035</v>
      </c>
      <c r="C89" s="62">
        <f>SUM('4. Metinis CAPEX'!O$9:O$13)</f>
        <v>0</v>
      </c>
      <c r="D89" s="62" cm="1">
        <f t="array" ref="D89">SUMPRODUCT('4. Metinis CAPEX'!O$9:O$13,IFERROR('2. Investicijos'!$N$5:$N$9/'2. Investicijos'!$H$5:$H$9,0))</f>
        <v>0</v>
      </c>
      <c r="E89" s="62" cm="1">
        <f t="array" ref="E89">SUMPRODUCT('4. Metinis CAPEX'!O$9:O$13,IFERROR(('2. Investicijos'!$I$5:$I$9+'2. Investicijos'!$J$5:$J$9+'2. Investicijos'!$K$5:$K$9+'2. Investicijos'!$L$5:$L$9)/'2. Investicijos'!$H$5:$H$9,0))</f>
        <v>0</v>
      </c>
      <c r="F89" s="62" cm="1">
        <f t="array" ref="F89">SUM('2. Investicijos'!$H$5:$H$9*IF('2. Investicijos'!$G$5:$G$9&lt;=35,30%,40%))</f>
        <v>0</v>
      </c>
      <c r="G89" s="62" cm="1">
        <f t="array" ref="G89">IF(AND(2035&gt;=2026,2035&lt;2026+'6. Aprašo scenarijus'!$C$4),SUM('2. Investicijos'!$H$5:$H$9*IF('2. Investicijos'!$G$5:$G$9&lt;=35,30%,40%))/'6. Aprašo scenarijus'!$C$4,0)</f>
        <v>0</v>
      </c>
      <c r="H89" s="62">
        <f t="shared" si="47"/>
        <v>0</v>
      </c>
      <c r="I89" s="62">
        <f>SUM(O$5:O$9)</f>
        <v>0</v>
      </c>
      <c r="J89" s="62" t="e" cm="1">
        <f t="array" ref="J89">K89+L89+MAX(0,-R88)*IFERROR(SUMPRODUCT(IF('2. Investicijos'!$N$5:$N$9&gt;('2. Investicijos'!$H$5:$H$9*IF('2. Investicijos'!$G$5:$G$9&lt;=35,30%,40%)),'2. Investicijos'!$N$5:$N$9-('2. Investicijos'!$H$5:$H$9*IF('2. Investicijos'!$G$5:$G$9&lt;=35,30%,40%)),0),'2. Investicijos'!$O$5:$O$9/100)/SUM(IF('2. Investicijos'!$N$5:$N$9&gt;('2. Investicijos'!$H$5:$H$9*IF('2. Investicijos'!$G$5:$G$9&lt;=35,30%,40%)),'2. Investicijos'!$N$5:$N$9-('2. Investicijos'!$H$5:$H$9*IF('2. Investicijos'!$G$5:$G$9&lt;=35,30%,40%)),0)),0)</f>
        <v>#VALUE!</v>
      </c>
      <c r="K89" s="62">
        <f>SUM(AI$5:AI$9)</f>
        <v>0</v>
      </c>
      <c r="L89" s="62">
        <f>SUM(Y$5:Y$9)</f>
        <v>0</v>
      </c>
      <c r="M89" s="62">
        <f>SUM(AS$5:AS$9)</f>
        <v>0</v>
      </c>
      <c r="N89" s="62">
        <f>'3. Finansinės prielaidos'!L30+M89</f>
        <v>0</v>
      </c>
      <c r="O89" s="62">
        <f>'3. Finansinės prielaidos'!L31</f>
        <v>0</v>
      </c>
      <c r="P89" s="62">
        <f>'3. Finansinės prielaidos'!L32</f>
        <v>0</v>
      </c>
      <c r="Q89" s="62" t="e">
        <f t="shared" si="48"/>
        <v>#VALUE!</v>
      </c>
      <c r="R89" s="62" t="e">
        <f>R88+('3. Finansinės prielaidos'!L31-'3. Finansinės prielaidos'!K31)+Q89</f>
        <v>#VALUE!</v>
      </c>
      <c r="S89" s="62" t="e" cm="1">
        <f t="array" ref="S89">SUMPRODUCT(--(2035&gt;'2. Investicijos'!$F$5:$F$9),--(2035&lt;='2. Investicijos'!$F$5:$F$9+'2. Investicijos'!$G$5:$G$9),IFERROR(('2. Investicijos'!$M$5:$M$9+IF('2. Investicijos'!$N$5:$N$9&gt;('2. Investicijos'!$H$5:$H$9*IF('2. Investicijos'!$G$5:$G$9&lt;=35,30%,40%)),'2. Investicijos'!$N$5:$N$9-('2. Investicijos'!$H$5:$H$9*IF('2. Investicijos'!$G$5:$G$9&lt;=35,30%,40%)),0)+('2. Investicijos'!$H$5:$H$9*IF('2. Investicijos'!$G$5:$G$9&lt;=35,30%,40%)))/'2. Investicijos'!$G$5:$G$9,0))+SUMPRODUCT(--(2035&gt;'2. Investicijos'!$F$5:$F$9),--(2035&lt;='2. Investicijos'!$F$5:$F$9+'2. Investicijos'!$G$5:$G$9),IFERROR(('2. Investicijos'!$M$5:$M$9+IF('2. Investicijos'!$N$5:$N$9&gt;('2. Investicijos'!$H$5:$H$9*IF('2. Investicijos'!$G$5:$G$9&lt;=35,30%,40%)),'2. Investicijos'!$N$5:$N$9-('2. Investicijos'!$H$5:$H$9*IF('2. Investicijos'!$G$5:$G$9&lt;=35,30%,40%)),0))*(1-((2035-'2. Investicijos'!$F$5:$F$9)-1)/'2. Investicijos'!$G$5:$G$9),0)*'5. 0% scenarijus'!$C$5)</f>
        <v>#VALUE!</v>
      </c>
      <c r="T89" s="62" t="e">
        <f>'3. Finansinės prielaidos'!L29+S89+G89</f>
        <v>#VALUE!</v>
      </c>
      <c r="U89" s="62" t="e">
        <f t="shared" si="49"/>
        <v>#VALUE!</v>
      </c>
      <c r="V89" s="72" t="e">
        <f t="shared" si="50"/>
        <v>#VALUE!</v>
      </c>
      <c r="W89" s="72" t="e">
        <f t="shared" si="51"/>
        <v>#VALUE!</v>
      </c>
      <c r="X89" s="57" t="e">
        <f t="shared" si="52"/>
        <v>#VALUE!</v>
      </c>
      <c r="Y89" s="57" t="e">
        <f t="shared" si="53"/>
        <v>#VALUE!</v>
      </c>
      <c r="Z89" s="57"/>
      <c r="AA89" s="57"/>
      <c r="AB89" s="57"/>
      <c r="AC89" s="57"/>
      <c r="AD89" s="57"/>
      <c r="AE89" s="57"/>
      <c r="AF89" s="57"/>
      <c r="AG89" s="57"/>
      <c r="AH89" s="57"/>
      <c r="AI89" s="57"/>
      <c r="AJ89" s="57"/>
      <c r="AK89" s="57"/>
      <c r="AL89" s="57"/>
      <c r="AM89" s="57"/>
      <c r="AN89" s="57"/>
      <c r="AO89" s="57"/>
      <c r="AP89" s="57"/>
      <c r="AQ89" s="57"/>
      <c r="AR89" s="57"/>
      <c r="AS89" s="57"/>
    </row>
    <row r="90" spans="1:45">
      <c r="A90" s="57">
        <v>6</v>
      </c>
      <c r="B90" s="57">
        <v>2026</v>
      </c>
      <c r="C90" s="62">
        <f>SUM('4. Metinis CAPEX'!F$9:F$14)</f>
        <v>0</v>
      </c>
      <c r="D90" s="62" cm="1">
        <f t="array" ref="D90">SUMPRODUCT('4. Metinis CAPEX'!F$9:F$14,IFERROR('2. Investicijos'!$N$5:$N$10/'2. Investicijos'!$H$5:$H$10,0))</f>
        <v>0</v>
      </c>
      <c r="E90" s="62" cm="1">
        <f t="array" ref="E90">SUMPRODUCT('4. Metinis CAPEX'!F$9:F$14,IFERROR(('2. Investicijos'!$I$5:$I$10+'2. Investicijos'!$J$5:$J$10+'2. Investicijos'!$K$5:$K$10+'2. Investicijos'!$L$5:$L$10)/'2. Investicijos'!$H$5:$H$10,0))</f>
        <v>0</v>
      </c>
      <c r="F90" s="62" cm="1">
        <f t="array" ref="F90">SUM('2. Investicijos'!$H$5:$H$10*IF('2. Investicijos'!$G$5:$G$10&lt;=35,30%,40%))</f>
        <v>0</v>
      </c>
      <c r="G90" s="62" cm="1">
        <f t="array" ref="G90">IF(AND(2026&gt;=2026,2026&lt;2026+'6. Aprašo scenarijus'!$C$4),SUM('2. Investicijos'!$H$5:$H$10*IF('2. Investicijos'!$G$5:$G$10&lt;=35,30%,40%))/'6. Aprašo scenarijus'!$C$4,0)</f>
        <v>0</v>
      </c>
      <c r="H90" s="62">
        <f t="shared" si="47"/>
        <v>0</v>
      </c>
      <c r="I90" s="62">
        <f>SUM(F$5:F$10)</f>
        <v>0</v>
      </c>
      <c r="J90" s="62">
        <f>0</f>
        <v>0</v>
      </c>
      <c r="K90" s="62">
        <f>SUM(Z$5:Z$10)</f>
        <v>0</v>
      </c>
      <c r="L90" s="62">
        <f>SUM(P$5:P$10)</f>
        <v>0</v>
      </c>
      <c r="M90" s="62">
        <f>SUM(AJ$5:AJ$10)</f>
        <v>0</v>
      </c>
      <c r="N90" s="62">
        <f>'3. Finansinės prielaidos'!C30+M90</f>
        <v>0</v>
      </c>
      <c r="O90" s="62">
        <f>'3. Finansinės prielaidos'!C31</f>
        <v>0</v>
      </c>
      <c r="P90" s="62">
        <f>'3. Finansinės prielaidos'!C32</f>
        <v>0</v>
      </c>
      <c r="Q90" s="62" t="e">
        <f t="shared" si="48"/>
        <v>#VALUE!</v>
      </c>
      <c r="R90" s="62" t="e">
        <f>O90+Q90</f>
        <v>#VALUE!</v>
      </c>
      <c r="S90" s="62" t="e" cm="1">
        <f t="array" ref="S90">SUMPRODUCT(--(2026&gt;'2. Investicijos'!$F$5:$F$10),--(2026&lt;='2. Investicijos'!$F$5:$F$10+'2. Investicijos'!$G$5:$G$10),IFERROR(('2. Investicijos'!$M$5:$M$10+IF('2. Investicijos'!$N$5:$N$10&gt;('2. Investicijos'!$H$5:$H$10*IF('2. Investicijos'!$G$5:$G$10&lt;=35,30%,40%)),'2. Investicijos'!$N$5:$N$10-('2. Investicijos'!$H$5:$H$10*IF('2. Investicijos'!$G$5:$G$10&lt;=35,30%,40%)),0)+('2. Investicijos'!$H$5:$H$10*IF('2. Investicijos'!$G$5:$G$10&lt;=35,30%,40%)))/'2. Investicijos'!$G$5:$G$10,0))+SUMPRODUCT(--(2026&gt;'2. Investicijos'!$F$5:$F$10),--(2026&lt;='2. Investicijos'!$F$5:$F$10+'2. Investicijos'!$G$5:$G$10),IFERROR(('2. Investicijos'!$M$5:$M$10+IF('2. Investicijos'!$N$5:$N$10&gt;('2. Investicijos'!$H$5:$H$10*IF('2. Investicijos'!$G$5:$G$10&lt;=35,30%,40%)),'2. Investicijos'!$N$5:$N$10-('2. Investicijos'!$H$5:$H$10*IF('2. Investicijos'!$G$5:$G$10&lt;=35,30%,40%)),0))*(1-((2026-'2. Investicijos'!$F$5:$F$10)-1)/'2. Investicijos'!$G$5:$G$10),0)*'5. 0% scenarijus'!$C$5)</f>
        <v>#VALUE!</v>
      </c>
      <c r="T90" s="62" t="e">
        <f>'3. Finansinės prielaidos'!C29+S90+G90</f>
        <v>#VALUE!</v>
      </c>
      <c r="U90" s="62" t="e">
        <f t="shared" si="49"/>
        <v>#VALUE!</v>
      </c>
      <c r="V90" s="72" t="e">
        <f t="shared" si="50"/>
        <v>#VALUE!</v>
      </c>
      <c r="W90" s="72" t="e">
        <f t="shared" si="51"/>
        <v>#VALUE!</v>
      </c>
      <c r="X90" s="57" t="e">
        <f t="shared" si="52"/>
        <v>#VALUE!</v>
      </c>
      <c r="Y90" s="57" t="e">
        <f t="shared" si="53"/>
        <v>#VALUE!</v>
      </c>
      <c r="Z90" s="57"/>
      <c r="AA90" s="57"/>
      <c r="AB90" s="57"/>
      <c r="AC90" s="57"/>
      <c r="AD90" s="57"/>
      <c r="AE90" s="57"/>
      <c r="AF90" s="57"/>
      <c r="AG90" s="57"/>
      <c r="AH90" s="57"/>
      <c r="AI90" s="57"/>
      <c r="AJ90" s="57"/>
      <c r="AK90" s="57"/>
      <c r="AL90" s="57"/>
      <c r="AM90" s="57"/>
      <c r="AN90" s="57"/>
      <c r="AO90" s="57"/>
      <c r="AP90" s="57"/>
      <c r="AQ90" s="57"/>
      <c r="AR90" s="57"/>
      <c r="AS90" s="57"/>
    </row>
    <row r="91" spans="1:45">
      <c r="A91" s="57">
        <v>6</v>
      </c>
      <c r="B91" s="57">
        <v>2027</v>
      </c>
      <c r="C91" s="62">
        <f>SUM('4. Metinis CAPEX'!G$9:G$14)</f>
        <v>0</v>
      </c>
      <c r="D91" s="62" cm="1">
        <f t="array" ref="D91">SUMPRODUCT('4. Metinis CAPEX'!G$9:G$14,IFERROR('2. Investicijos'!$N$5:$N$10/'2. Investicijos'!$H$5:$H$10,0))</f>
        <v>0</v>
      </c>
      <c r="E91" s="62" cm="1">
        <f t="array" ref="E91">SUMPRODUCT('4. Metinis CAPEX'!G$9:G$14,IFERROR(('2. Investicijos'!$I$5:$I$10+'2. Investicijos'!$J$5:$J$10+'2. Investicijos'!$K$5:$K$10+'2. Investicijos'!$L$5:$L$10)/'2. Investicijos'!$H$5:$H$10,0))</f>
        <v>0</v>
      </c>
      <c r="F91" s="62" cm="1">
        <f t="array" ref="F91">SUM('2. Investicijos'!$H$5:$H$10*IF('2. Investicijos'!$G$5:$G$10&lt;=35,30%,40%))</f>
        <v>0</v>
      </c>
      <c r="G91" s="62" cm="1">
        <f t="array" ref="G91">IF(AND(2027&gt;=2026,2027&lt;2026+'6. Aprašo scenarijus'!$C$4),SUM('2. Investicijos'!$H$5:$H$10*IF('2. Investicijos'!$G$5:$G$10&lt;=35,30%,40%))/'6. Aprašo scenarijus'!$C$4,0)</f>
        <v>0</v>
      </c>
      <c r="H91" s="62">
        <f t="shared" si="47"/>
        <v>0</v>
      </c>
      <c r="I91" s="62">
        <f>SUM(G$5:G$10)</f>
        <v>0</v>
      </c>
      <c r="J91" s="62" t="e" cm="1">
        <f t="array" ref="J91">K91+L91+MAX(0,-R90)*IFERROR(SUMPRODUCT(IF('2. Investicijos'!$N$5:$N$10&gt;('2. Investicijos'!$H$5:$H$10*IF('2. Investicijos'!$G$5:$G$10&lt;=35,30%,40%)),'2. Investicijos'!$N$5:$N$10-('2. Investicijos'!$H$5:$H$10*IF('2. Investicijos'!$G$5:$G$10&lt;=35,30%,40%)),0),'2. Investicijos'!$O$5:$O$10/100)/SUM(IF('2. Investicijos'!$N$5:$N$10&gt;('2. Investicijos'!$H$5:$H$10*IF('2. Investicijos'!$G$5:$G$10&lt;=35,30%,40%)),'2. Investicijos'!$N$5:$N$10-('2. Investicijos'!$H$5:$H$10*IF('2. Investicijos'!$G$5:$G$10&lt;=35,30%,40%)),0)),0)</f>
        <v>#VALUE!</v>
      </c>
      <c r="K91" s="62">
        <f>SUM(AA$5:AA$10)</f>
        <v>0</v>
      </c>
      <c r="L91" s="62">
        <f>SUM(Q$5:Q$10)</f>
        <v>0</v>
      </c>
      <c r="M91" s="62">
        <f>SUM(AK$5:AK$10)</f>
        <v>0</v>
      </c>
      <c r="N91" s="62">
        <f>'3. Finansinės prielaidos'!D30+M91</f>
        <v>0</v>
      </c>
      <c r="O91" s="62">
        <f>'3. Finansinės prielaidos'!D31</f>
        <v>0</v>
      </c>
      <c r="P91" s="62">
        <f>'3. Finansinės prielaidos'!D32</f>
        <v>0</v>
      </c>
      <c r="Q91" s="62" t="e">
        <f t="shared" si="48"/>
        <v>#VALUE!</v>
      </c>
      <c r="R91" s="62" t="e">
        <f>R90+('3. Finansinės prielaidos'!D31-'3. Finansinės prielaidos'!C31)+Q91</f>
        <v>#VALUE!</v>
      </c>
      <c r="S91" s="62" t="e" cm="1">
        <f t="array" ref="S91">SUMPRODUCT(--(2027&gt;'2. Investicijos'!$F$5:$F$10),--(2027&lt;='2. Investicijos'!$F$5:$F$10+'2. Investicijos'!$G$5:$G$10),IFERROR(('2. Investicijos'!$M$5:$M$10+IF('2. Investicijos'!$N$5:$N$10&gt;('2. Investicijos'!$H$5:$H$10*IF('2. Investicijos'!$G$5:$G$10&lt;=35,30%,40%)),'2. Investicijos'!$N$5:$N$10-('2. Investicijos'!$H$5:$H$10*IF('2. Investicijos'!$G$5:$G$10&lt;=35,30%,40%)),0)+('2. Investicijos'!$H$5:$H$10*IF('2. Investicijos'!$G$5:$G$10&lt;=35,30%,40%)))/'2. Investicijos'!$G$5:$G$10,0))+SUMPRODUCT(--(2027&gt;'2. Investicijos'!$F$5:$F$10),--(2027&lt;='2. Investicijos'!$F$5:$F$10+'2. Investicijos'!$G$5:$G$10),IFERROR(('2. Investicijos'!$M$5:$M$10+IF('2. Investicijos'!$N$5:$N$10&gt;('2. Investicijos'!$H$5:$H$10*IF('2. Investicijos'!$G$5:$G$10&lt;=35,30%,40%)),'2. Investicijos'!$N$5:$N$10-('2. Investicijos'!$H$5:$H$10*IF('2. Investicijos'!$G$5:$G$10&lt;=35,30%,40%)),0))*(1-((2027-'2. Investicijos'!$F$5:$F$10)-1)/'2. Investicijos'!$G$5:$G$10),0)*'5. 0% scenarijus'!$C$5)</f>
        <v>#VALUE!</v>
      </c>
      <c r="T91" s="62" t="e">
        <f>'3. Finansinės prielaidos'!D29+S91+G91</f>
        <v>#VALUE!</v>
      </c>
      <c r="U91" s="62" t="e">
        <f t="shared" si="49"/>
        <v>#VALUE!</v>
      </c>
      <c r="V91" s="72" t="e">
        <f t="shared" si="50"/>
        <v>#VALUE!</v>
      </c>
      <c r="W91" s="72" t="e">
        <f t="shared" si="51"/>
        <v>#VALUE!</v>
      </c>
      <c r="X91" s="57" t="e">
        <f t="shared" si="52"/>
        <v>#VALUE!</v>
      </c>
      <c r="Y91" s="57" t="e">
        <f t="shared" si="53"/>
        <v>#VALUE!</v>
      </c>
      <c r="Z91" s="57"/>
      <c r="AA91" s="57"/>
      <c r="AB91" s="57"/>
      <c r="AC91" s="57"/>
      <c r="AD91" s="57"/>
      <c r="AE91" s="57"/>
      <c r="AF91" s="57"/>
      <c r="AG91" s="57"/>
      <c r="AH91" s="57"/>
      <c r="AI91" s="57"/>
      <c r="AJ91" s="57"/>
      <c r="AK91" s="57"/>
      <c r="AL91" s="57"/>
      <c r="AM91" s="57"/>
      <c r="AN91" s="57"/>
      <c r="AO91" s="57"/>
      <c r="AP91" s="57"/>
      <c r="AQ91" s="57"/>
      <c r="AR91" s="57"/>
      <c r="AS91" s="57"/>
    </row>
    <row r="92" spans="1:45">
      <c r="A92" s="57">
        <v>6</v>
      </c>
      <c r="B92" s="57">
        <v>2028</v>
      </c>
      <c r="C92" s="62">
        <f>SUM('4. Metinis CAPEX'!H$9:H$14)</f>
        <v>0</v>
      </c>
      <c r="D92" s="62" cm="1">
        <f t="array" ref="D92">SUMPRODUCT('4. Metinis CAPEX'!H$9:H$14,IFERROR('2. Investicijos'!$N$5:$N$10/'2. Investicijos'!$H$5:$H$10,0))</f>
        <v>0</v>
      </c>
      <c r="E92" s="62" cm="1">
        <f t="array" ref="E92">SUMPRODUCT('4. Metinis CAPEX'!H$9:H$14,IFERROR(('2. Investicijos'!$I$5:$I$10+'2. Investicijos'!$J$5:$J$10+'2. Investicijos'!$K$5:$K$10+'2. Investicijos'!$L$5:$L$10)/'2. Investicijos'!$H$5:$H$10,0))</f>
        <v>0</v>
      </c>
      <c r="F92" s="62" cm="1">
        <f t="array" ref="F92">SUM('2. Investicijos'!$H$5:$H$10*IF('2. Investicijos'!$G$5:$G$10&lt;=35,30%,40%))</f>
        <v>0</v>
      </c>
      <c r="G92" s="62" cm="1">
        <f t="array" ref="G92">IF(AND(2028&gt;=2026,2028&lt;2026+'6. Aprašo scenarijus'!$C$4),SUM('2. Investicijos'!$H$5:$H$10*IF('2. Investicijos'!$G$5:$G$10&lt;=35,30%,40%))/'6. Aprašo scenarijus'!$C$4,0)</f>
        <v>0</v>
      </c>
      <c r="H92" s="62">
        <f t="shared" si="47"/>
        <v>0</v>
      </c>
      <c r="I92" s="62">
        <f>SUM(H$5:H$10)</f>
        <v>0</v>
      </c>
      <c r="J92" s="62" t="e" cm="1">
        <f t="array" ref="J92">K92+L92+MAX(0,-R91)*IFERROR(SUMPRODUCT(IF('2. Investicijos'!$N$5:$N$10&gt;('2. Investicijos'!$H$5:$H$10*IF('2. Investicijos'!$G$5:$G$10&lt;=35,30%,40%)),'2. Investicijos'!$N$5:$N$10-('2. Investicijos'!$H$5:$H$10*IF('2. Investicijos'!$G$5:$G$10&lt;=35,30%,40%)),0),'2. Investicijos'!$O$5:$O$10/100)/SUM(IF('2. Investicijos'!$N$5:$N$10&gt;('2. Investicijos'!$H$5:$H$10*IF('2. Investicijos'!$G$5:$G$10&lt;=35,30%,40%)),'2. Investicijos'!$N$5:$N$10-('2. Investicijos'!$H$5:$H$10*IF('2. Investicijos'!$G$5:$G$10&lt;=35,30%,40%)),0)),0)</f>
        <v>#VALUE!</v>
      </c>
      <c r="K92" s="62">
        <f>SUM(AB$5:AB$10)</f>
        <v>0</v>
      </c>
      <c r="L92" s="62">
        <f>SUM(R$5:R$10)</f>
        <v>0</v>
      </c>
      <c r="M92" s="62">
        <f>SUM(AL$5:AL$10)</f>
        <v>0</v>
      </c>
      <c r="N92" s="62">
        <f>'3. Finansinės prielaidos'!E30+M92</f>
        <v>0</v>
      </c>
      <c r="O92" s="62">
        <f>'3. Finansinės prielaidos'!E31</f>
        <v>0</v>
      </c>
      <c r="P92" s="62">
        <f>'3. Finansinės prielaidos'!E32</f>
        <v>0</v>
      </c>
      <c r="Q92" s="62" t="e">
        <f t="shared" si="48"/>
        <v>#VALUE!</v>
      </c>
      <c r="R92" s="62" t="e">
        <f>R91+('3. Finansinės prielaidos'!E31-'3. Finansinės prielaidos'!D31)+Q92</f>
        <v>#VALUE!</v>
      </c>
      <c r="S92" s="62" t="e" cm="1">
        <f t="array" ref="S92">SUMPRODUCT(--(2028&gt;'2. Investicijos'!$F$5:$F$10),--(2028&lt;='2. Investicijos'!$F$5:$F$10+'2. Investicijos'!$G$5:$G$10),IFERROR(('2. Investicijos'!$M$5:$M$10+IF('2. Investicijos'!$N$5:$N$10&gt;('2. Investicijos'!$H$5:$H$10*IF('2. Investicijos'!$G$5:$G$10&lt;=35,30%,40%)),'2. Investicijos'!$N$5:$N$10-('2. Investicijos'!$H$5:$H$10*IF('2. Investicijos'!$G$5:$G$10&lt;=35,30%,40%)),0)+('2. Investicijos'!$H$5:$H$10*IF('2. Investicijos'!$G$5:$G$10&lt;=35,30%,40%)))/'2. Investicijos'!$G$5:$G$10,0))+SUMPRODUCT(--(2028&gt;'2. Investicijos'!$F$5:$F$10),--(2028&lt;='2. Investicijos'!$F$5:$F$10+'2. Investicijos'!$G$5:$G$10),IFERROR(('2. Investicijos'!$M$5:$M$10+IF('2. Investicijos'!$N$5:$N$10&gt;('2. Investicijos'!$H$5:$H$10*IF('2. Investicijos'!$G$5:$G$10&lt;=35,30%,40%)),'2. Investicijos'!$N$5:$N$10-('2. Investicijos'!$H$5:$H$10*IF('2. Investicijos'!$G$5:$G$10&lt;=35,30%,40%)),0))*(1-((2028-'2. Investicijos'!$F$5:$F$10)-1)/'2. Investicijos'!$G$5:$G$10),0)*'5. 0% scenarijus'!$C$5)</f>
        <v>#VALUE!</v>
      </c>
      <c r="T92" s="62" t="e">
        <f>'3. Finansinės prielaidos'!E29+S92+G92</f>
        <v>#VALUE!</v>
      </c>
      <c r="U92" s="62" t="e">
        <f t="shared" si="49"/>
        <v>#VALUE!</v>
      </c>
      <c r="V92" s="72" t="e">
        <f t="shared" si="50"/>
        <v>#VALUE!</v>
      </c>
      <c r="W92" s="72" t="e">
        <f t="shared" si="51"/>
        <v>#VALUE!</v>
      </c>
      <c r="X92" s="57" t="e">
        <f t="shared" si="52"/>
        <v>#VALUE!</v>
      </c>
      <c r="Y92" s="57" t="e">
        <f t="shared" si="53"/>
        <v>#VALUE!</v>
      </c>
      <c r="Z92" s="57"/>
      <c r="AA92" s="57"/>
      <c r="AB92" s="57"/>
      <c r="AC92" s="57"/>
      <c r="AD92" s="57"/>
      <c r="AE92" s="57"/>
      <c r="AF92" s="57"/>
      <c r="AG92" s="57"/>
      <c r="AH92" s="57"/>
      <c r="AI92" s="57"/>
      <c r="AJ92" s="57"/>
      <c r="AK92" s="57"/>
      <c r="AL92" s="57"/>
      <c r="AM92" s="57"/>
      <c r="AN92" s="57"/>
      <c r="AO92" s="57"/>
      <c r="AP92" s="57"/>
      <c r="AQ92" s="57"/>
      <c r="AR92" s="57"/>
      <c r="AS92" s="57"/>
    </row>
    <row r="93" spans="1:45">
      <c r="A93" s="57">
        <v>6</v>
      </c>
      <c r="B93" s="57">
        <v>2029</v>
      </c>
      <c r="C93" s="62">
        <f>SUM('4. Metinis CAPEX'!I$9:I$14)</f>
        <v>0</v>
      </c>
      <c r="D93" s="62" cm="1">
        <f t="array" ref="D93">SUMPRODUCT('4. Metinis CAPEX'!I$9:I$14,IFERROR('2. Investicijos'!$N$5:$N$10/'2. Investicijos'!$H$5:$H$10,0))</f>
        <v>0</v>
      </c>
      <c r="E93" s="62" cm="1">
        <f t="array" ref="E93">SUMPRODUCT('4. Metinis CAPEX'!I$9:I$14,IFERROR(('2. Investicijos'!$I$5:$I$10+'2. Investicijos'!$J$5:$J$10+'2. Investicijos'!$K$5:$K$10+'2. Investicijos'!$L$5:$L$10)/'2. Investicijos'!$H$5:$H$10,0))</f>
        <v>0</v>
      </c>
      <c r="F93" s="62" cm="1">
        <f t="array" ref="F93">SUM('2. Investicijos'!$H$5:$H$10*IF('2. Investicijos'!$G$5:$G$10&lt;=35,30%,40%))</f>
        <v>0</v>
      </c>
      <c r="G93" s="62" cm="1">
        <f t="array" ref="G93">IF(AND(2029&gt;=2026,2029&lt;2026+'6. Aprašo scenarijus'!$C$4),SUM('2. Investicijos'!$H$5:$H$10*IF('2. Investicijos'!$G$5:$G$10&lt;=35,30%,40%))/'6. Aprašo scenarijus'!$C$4,0)</f>
        <v>0</v>
      </c>
      <c r="H93" s="62">
        <f t="shared" si="47"/>
        <v>0</v>
      </c>
      <c r="I93" s="62">
        <f>SUM(I$5:I$10)</f>
        <v>0</v>
      </c>
      <c r="J93" s="62" t="e" cm="1">
        <f t="array" ref="J93">K93+L93+MAX(0,-R92)*IFERROR(SUMPRODUCT(IF('2. Investicijos'!$N$5:$N$10&gt;('2. Investicijos'!$H$5:$H$10*IF('2. Investicijos'!$G$5:$G$10&lt;=35,30%,40%)),'2. Investicijos'!$N$5:$N$10-('2. Investicijos'!$H$5:$H$10*IF('2. Investicijos'!$G$5:$G$10&lt;=35,30%,40%)),0),'2. Investicijos'!$O$5:$O$10/100)/SUM(IF('2. Investicijos'!$N$5:$N$10&gt;('2. Investicijos'!$H$5:$H$10*IF('2. Investicijos'!$G$5:$G$10&lt;=35,30%,40%)),'2. Investicijos'!$N$5:$N$10-('2. Investicijos'!$H$5:$H$10*IF('2. Investicijos'!$G$5:$G$10&lt;=35,30%,40%)),0)),0)</f>
        <v>#VALUE!</v>
      </c>
      <c r="K93" s="62">
        <f>SUM(AC$5:AC$10)</f>
        <v>0</v>
      </c>
      <c r="L93" s="62">
        <f>SUM(S$5:S$10)</f>
        <v>0</v>
      </c>
      <c r="M93" s="62">
        <f>SUM(AM$5:AM$10)</f>
        <v>0</v>
      </c>
      <c r="N93" s="62">
        <f>'3. Finansinės prielaidos'!F30+M93</f>
        <v>0</v>
      </c>
      <c r="O93" s="62">
        <f>'3. Finansinės prielaidos'!F31</f>
        <v>0</v>
      </c>
      <c r="P93" s="62">
        <f>'3. Finansinės prielaidos'!F32</f>
        <v>0</v>
      </c>
      <c r="Q93" s="62" t="e">
        <f t="shared" si="48"/>
        <v>#VALUE!</v>
      </c>
      <c r="R93" s="62" t="e">
        <f>R92+('3. Finansinės prielaidos'!F31-'3. Finansinės prielaidos'!E31)+Q93</f>
        <v>#VALUE!</v>
      </c>
      <c r="S93" s="62" t="e" cm="1">
        <f t="array" ref="S93">SUMPRODUCT(--(2029&gt;'2. Investicijos'!$F$5:$F$10),--(2029&lt;='2. Investicijos'!$F$5:$F$10+'2. Investicijos'!$G$5:$G$10),IFERROR(('2. Investicijos'!$M$5:$M$10+IF('2. Investicijos'!$N$5:$N$10&gt;('2. Investicijos'!$H$5:$H$10*IF('2. Investicijos'!$G$5:$G$10&lt;=35,30%,40%)),'2. Investicijos'!$N$5:$N$10-('2. Investicijos'!$H$5:$H$10*IF('2. Investicijos'!$G$5:$G$10&lt;=35,30%,40%)),0)+('2. Investicijos'!$H$5:$H$10*IF('2. Investicijos'!$G$5:$G$10&lt;=35,30%,40%)))/'2. Investicijos'!$G$5:$G$10,0))+SUMPRODUCT(--(2029&gt;'2. Investicijos'!$F$5:$F$10),--(2029&lt;='2. Investicijos'!$F$5:$F$10+'2. Investicijos'!$G$5:$G$10),IFERROR(('2. Investicijos'!$M$5:$M$10+IF('2. Investicijos'!$N$5:$N$10&gt;('2. Investicijos'!$H$5:$H$10*IF('2. Investicijos'!$G$5:$G$10&lt;=35,30%,40%)),'2. Investicijos'!$N$5:$N$10-('2. Investicijos'!$H$5:$H$10*IF('2. Investicijos'!$G$5:$G$10&lt;=35,30%,40%)),0))*(1-((2029-'2. Investicijos'!$F$5:$F$10)-1)/'2. Investicijos'!$G$5:$G$10),0)*'5. 0% scenarijus'!$C$5)</f>
        <v>#VALUE!</v>
      </c>
      <c r="T93" s="62" t="e">
        <f>'3. Finansinės prielaidos'!F29+S93+G93</f>
        <v>#VALUE!</v>
      </c>
      <c r="U93" s="62" t="e">
        <f t="shared" si="49"/>
        <v>#VALUE!</v>
      </c>
      <c r="V93" s="72" t="e">
        <f t="shared" si="50"/>
        <v>#VALUE!</v>
      </c>
      <c r="W93" s="72" t="e">
        <f t="shared" si="51"/>
        <v>#VALUE!</v>
      </c>
      <c r="X93" s="57" t="e">
        <f t="shared" si="52"/>
        <v>#VALUE!</v>
      </c>
      <c r="Y93" s="57" t="e">
        <f t="shared" si="53"/>
        <v>#VALUE!</v>
      </c>
      <c r="Z93" s="57"/>
      <c r="AA93" s="57"/>
      <c r="AB93" s="57"/>
      <c r="AC93" s="57"/>
      <c r="AD93" s="57"/>
      <c r="AE93" s="57"/>
      <c r="AF93" s="57"/>
      <c r="AG93" s="57"/>
      <c r="AH93" s="57"/>
      <c r="AI93" s="57"/>
      <c r="AJ93" s="57"/>
      <c r="AK93" s="57"/>
      <c r="AL93" s="57"/>
      <c r="AM93" s="57"/>
      <c r="AN93" s="57"/>
      <c r="AO93" s="57"/>
      <c r="AP93" s="57"/>
      <c r="AQ93" s="57"/>
      <c r="AR93" s="57"/>
      <c r="AS93" s="57"/>
    </row>
    <row r="94" spans="1:45">
      <c r="A94" s="57">
        <v>6</v>
      </c>
      <c r="B94" s="57">
        <v>2030</v>
      </c>
      <c r="C94" s="62">
        <f>SUM('4. Metinis CAPEX'!J$9:J$14)</f>
        <v>0</v>
      </c>
      <c r="D94" s="62" cm="1">
        <f t="array" ref="D94">SUMPRODUCT('4. Metinis CAPEX'!J$9:J$14,IFERROR('2. Investicijos'!$N$5:$N$10/'2. Investicijos'!$H$5:$H$10,0))</f>
        <v>0</v>
      </c>
      <c r="E94" s="62" cm="1">
        <f t="array" ref="E94">SUMPRODUCT('4. Metinis CAPEX'!J$9:J$14,IFERROR(('2. Investicijos'!$I$5:$I$10+'2. Investicijos'!$J$5:$J$10+'2. Investicijos'!$K$5:$K$10+'2. Investicijos'!$L$5:$L$10)/'2. Investicijos'!$H$5:$H$10,0))</f>
        <v>0</v>
      </c>
      <c r="F94" s="62" cm="1">
        <f t="array" ref="F94">SUM('2. Investicijos'!$H$5:$H$10*IF('2. Investicijos'!$G$5:$G$10&lt;=35,30%,40%))</f>
        <v>0</v>
      </c>
      <c r="G94" s="62" cm="1">
        <f t="array" ref="G94">IF(AND(2030&gt;=2026,2030&lt;2026+'6. Aprašo scenarijus'!$C$4),SUM('2. Investicijos'!$H$5:$H$10*IF('2. Investicijos'!$G$5:$G$10&lt;=35,30%,40%))/'6. Aprašo scenarijus'!$C$4,0)</f>
        <v>0</v>
      </c>
      <c r="H94" s="62">
        <f t="shared" si="47"/>
        <v>0</v>
      </c>
      <c r="I94" s="62">
        <f>SUM(J$5:J$10)</f>
        <v>0</v>
      </c>
      <c r="J94" s="62" t="e" cm="1">
        <f t="array" ref="J94">K94+L94+MAX(0,-R93)*IFERROR(SUMPRODUCT(IF('2. Investicijos'!$N$5:$N$10&gt;('2. Investicijos'!$H$5:$H$10*IF('2. Investicijos'!$G$5:$G$10&lt;=35,30%,40%)),'2. Investicijos'!$N$5:$N$10-('2. Investicijos'!$H$5:$H$10*IF('2. Investicijos'!$G$5:$G$10&lt;=35,30%,40%)),0),'2. Investicijos'!$O$5:$O$10/100)/SUM(IF('2. Investicijos'!$N$5:$N$10&gt;('2. Investicijos'!$H$5:$H$10*IF('2. Investicijos'!$G$5:$G$10&lt;=35,30%,40%)),'2. Investicijos'!$N$5:$N$10-('2. Investicijos'!$H$5:$H$10*IF('2. Investicijos'!$G$5:$G$10&lt;=35,30%,40%)),0)),0)</f>
        <v>#VALUE!</v>
      </c>
      <c r="K94" s="62">
        <f>SUM(AD$5:AD$10)</f>
        <v>0</v>
      </c>
      <c r="L94" s="62">
        <f>SUM(T$5:T$10)</f>
        <v>0</v>
      </c>
      <c r="M94" s="62">
        <f>SUM(AN$5:AN$10)</f>
        <v>0</v>
      </c>
      <c r="N94" s="62">
        <f>'3. Finansinės prielaidos'!G30+M94</f>
        <v>0</v>
      </c>
      <c r="O94" s="62">
        <f>'3. Finansinės prielaidos'!G31</f>
        <v>0</v>
      </c>
      <c r="P94" s="62">
        <f>'3. Finansinės prielaidos'!G32</f>
        <v>0</v>
      </c>
      <c r="Q94" s="62" t="e">
        <f t="shared" si="48"/>
        <v>#VALUE!</v>
      </c>
      <c r="R94" s="62" t="e">
        <f>R93+('3. Finansinės prielaidos'!G31-'3. Finansinės prielaidos'!F31)+Q94</f>
        <v>#VALUE!</v>
      </c>
      <c r="S94" s="62" t="e" cm="1">
        <f t="array" ref="S94">SUMPRODUCT(--(2030&gt;'2. Investicijos'!$F$5:$F$10),--(2030&lt;='2. Investicijos'!$F$5:$F$10+'2. Investicijos'!$G$5:$G$10),IFERROR(('2. Investicijos'!$M$5:$M$10+IF('2. Investicijos'!$N$5:$N$10&gt;('2. Investicijos'!$H$5:$H$10*IF('2. Investicijos'!$G$5:$G$10&lt;=35,30%,40%)),'2. Investicijos'!$N$5:$N$10-('2. Investicijos'!$H$5:$H$10*IF('2. Investicijos'!$G$5:$G$10&lt;=35,30%,40%)),0)+('2. Investicijos'!$H$5:$H$10*IF('2. Investicijos'!$G$5:$G$10&lt;=35,30%,40%)))/'2. Investicijos'!$G$5:$G$10,0))+SUMPRODUCT(--(2030&gt;'2. Investicijos'!$F$5:$F$10),--(2030&lt;='2. Investicijos'!$F$5:$F$10+'2. Investicijos'!$G$5:$G$10),IFERROR(('2. Investicijos'!$M$5:$M$10+IF('2. Investicijos'!$N$5:$N$10&gt;('2. Investicijos'!$H$5:$H$10*IF('2. Investicijos'!$G$5:$G$10&lt;=35,30%,40%)),'2. Investicijos'!$N$5:$N$10-('2. Investicijos'!$H$5:$H$10*IF('2. Investicijos'!$G$5:$G$10&lt;=35,30%,40%)),0))*(1-((2030-'2. Investicijos'!$F$5:$F$10)-1)/'2. Investicijos'!$G$5:$G$10),0)*'5. 0% scenarijus'!$C$5)</f>
        <v>#VALUE!</v>
      </c>
      <c r="T94" s="62" t="e">
        <f>'3. Finansinės prielaidos'!G29+S94+G94</f>
        <v>#VALUE!</v>
      </c>
      <c r="U94" s="62" t="e">
        <f t="shared" si="49"/>
        <v>#VALUE!</v>
      </c>
      <c r="V94" s="72" t="e">
        <f t="shared" si="50"/>
        <v>#VALUE!</v>
      </c>
      <c r="W94" s="72" t="e">
        <f t="shared" si="51"/>
        <v>#VALUE!</v>
      </c>
      <c r="X94" s="57" t="e">
        <f t="shared" si="52"/>
        <v>#VALUE!</v>
      </c>
      <c r="Y94" s="57" t="e">
        <f t="shared" si="53"/>
        <v>#VALUE!</v>
      </c>
      <c r="Z94" s="57"/>
      <c r="AA94" s="57"/>
      <c r="AB94" s="57"/>
      <c r="AC94" s="57"/>
      <c r="AD94" s="57"/>
      <c r="AE94" s="57"/>
      <c r="AF94" s="57"/>
      <c r="AG94" s="57"/>
      <c r="AH94" s="57"/>
      <c r="AI94" s="57"/>
      <c r="AJ94" s="57"/>
      <c r="AK94" s="57"/>
      <c r="AL94" s="57"/>
      <c r="AM94" s="57"/>
      <c r="AN94" s="57"/>
      <c r="AO94" s="57"/>
      <c r="AP94" s="57"/>
      <c r="AQ94" s="57"/>
      <c r="AR94" s="57"/>
      <c r="AS94" s="57"/>
    </row>
    <row r="95" spans="1:45">
      <c r="A95" s="57">
        <v>6</v>
      </c>
      <c r="B95" s="57">
        <v>2031</v>
      </c>
      <c r="C95" s="62">
        <f>SUM('4. Metinis CAPEX'!K$9:K$14)</f>
        <v>0</v>
      </c>
      <c r="D95" s="62" cm="1">
        <f t="array" ref="D95">SUMPRODUCT('4. Metinis CAPEX'!K$9:K$14,IFERROR('2. Investicijos'!$N$5:$N$10/'2. Investicijos'!$H$5:$H$10,0))</f>
        <v>0</v>
      </c>
      <c r="E95" s="62" cm="1">
        <f t="array" ref="E95">SUMPRODUCT('4. Metinis CAPEX'!K$9:K$14,IFERROR(('2. Investicijos'!$I$5:$I$10+'2. Investicijos'!$J$5:$J$10+'2. Investicijos'!$K$5:$K$10+'2. Investicijos'!$L$5:$L$10)/'2. Investicijos'!$H$5:$H$10,0))</f>
        <v>0</v>
      </c>
      <c r="F95" s="62" cm="1">
        <f t="array" ref="F95">SUM('2. Investicijos'!$H$5:$H$10*IF('2. Investicijos'!$G$5:$G$10&lt;=35,30%,40%))</f>
        <v>0</v>
      </c>
      <c r="G95" s="62" cm="1">
        <f t="array" ref="G95">IF(AND(2031&gt;=2026,2031&lt;2026+'6. Aprašo scenarijus'!$C$4),SUM('2. Investicijos'!$H$5:$H$10*IF('2. Investicijos'!$G$5:$G$10&lt;=35,30%,40%))/'6. Aprašo scenarijus'!$C$4,0)</f>
        <v>0</v>
      </c>
      <c r="H95" s="62">
        <f t="shared" si="47"/>
        <v>0</v>
      </c>
      <c r="I95" s="62">
        <f>SUM(K$5:K$10)</f>
        <v>0</v>
      </c>
      <c r="J95" s="62" t="e" cm="1">
        <f t="array" ref="J95">K95+L95+MAX(0,-R94)*IFERROR(SUMPRODUCT(IF('2. Investicijos'!$N$5:$N$10&gt;('2. Investicijos'!$H$5:$H$10*IF('2. Investicijos'!$G$5:$G$10&lt;=35,30%,40%)),'2. Investicijos'!$N$5:$N$10-('2. Investicijos'!$H$5:$H$10*IF('2. Investicijos'!$G$5:$G$10&lt;=35,30%,40%)),0),'2. Investicijos'!$O$5:$O$10/100)/SUM(IF('2. Investicijos'!$N$5:$N$10&gt;('2. Investicijos'!$H$5:$H$10*IF('2. Investicijos'!$G$5:$G$10&lt;=35,30%,40%)),'2. Investicijos'!$N$5:$N$10-('2. Investicijos'!$H$5:$H$10*IF('2. Investicijos'!$G$5:$G$10&lt;=35,30%,40%)),0)),0)</f>
        <v>#VALUE!</v>
      </c>
      <c r="K95" s="62">
        <f>SUM(AE$5:AE$10)</f>
        <v>0</v>
      </c>
      <c r="L95" s="62">
        <f>SUM(U$5:U$10)</f>
        <v>0</v>
      </c>
      <c r="M95" s="62">
        <f>SUM(AO$5:AO$10)</f>
        <v>0</v>
      </c>
      <c r="N95" s="62">
        <f>'3. Finansinės prielaidos'!H30+M95</f>
        <v>0</v>
      </c>
      <c r="O95" s="62">
        <f>'3. Finansinės prielaidos'!H31</f>
        <v>0</v>
      </c>
      <c r="P95" s="62">
        <f>'3. Finansinės prielaidos'!H32</f>
        <v>0</v>
      </c>
      <c r="Q95" s="62" t="e">
        <f t="shared" si="48"/>
        <v>#VALUE!</v>
      </c>
      <c r="R95" s="62" t="e">
        <f>R94+('3. Finansinės prielaidos'!H31-'3. Finansinės prielaidos'!G31)+Q95</f>
        <v>#VALUE!</v>
      </c>
      <c r="S95" s="62" t="e" cm="1">
        <f t="array" ref="S95">SUMPRODUCT(--(2031&gt;'2. Investicijos'!$F$5:$F$10),--(2031&lt;='2. Investicijos'!$F$5:$F$10+'2. Investicijos'!$G$5:$G$10),IFERROR(('2. Investicijos'!$M$5:$M$10+IF('2. Investicijos'!$N$5:$N$10&gt;('2. Investicijos'!$H$5:$H$10*IF('2. Investicijos'!$G$5:$G$10&lt;=35,30%,40%)),'2. Investicijos'!$N$5:$N$10-('2. Investicijos'!$H$5:$H$10*IF('2. Investicijos'!$G$5:$G$10&lt;=35,30%,40%)),0)+('2. Investicijos'!$H$5:$H$10*IF('2. Investicijos'!$G$5:$G$10&lt;=35,30%,40%)))/'2. Investicijos'!$G$5:$G$10,0))+SUMPRODUCT(--(2031&gt;'2. Investicijos'!$F$5:$F$10),--(2031&lt;='2. Investicijos'!$F$5:$F$10+'2. Investicijos'!$G$5:$G$10),IFERROR(('2. Investicijos'!$M$5:$M$10+IF('2. Investicijos'!$N$5:$N$10&gt;('2. Investicijos'!$H$5:$H$10*IF('2. Investicijos'!$G$5:$G$10&lt;=35,30%,40%)),'2. Investicijos'!$N$5:$N$10-('2. Investicijos'!$H$5:$H$10*IF('2. Investicijos'!$G$5:$G$10&lt;=35,30%,40%)),0))*(1-((2031-'2. Investicijos'!$F$5:$F$10)-1)/'2. Investicijos'!$G$5:$G$10),0)*'5. 0% scenarijus'!$C$5)</f>
        <v>#VALUE!</v>
      </c>
      <c r="T95" s="62" t="e">
        <f>'3. Finansinės prielaidos'!H29+S95+G95</f>
        <v>#VALUE!</v>
      </c>
      <c r="U95" s="62" t="e">
        <f t="shared" si="49"/>
        <v>#VALUE!</v>
      </c>
      <c r="V95" s="72" t="e">
        <f t="shared" si="50"/>
        <v>#VALUE!</v>
      </c>
      <c r="W95" s="72" t="e">
        <f t="shared" si="51"/>
        <v>#VALUE!</v>
      </c>
      <c r="X95" s="57" t="e">
        <f t="shared" si="52"/>
        <v>#VALUE!</v>
      </c>
      <c r="Y95" s="57" t="e">
        <f t="shared" si="53"/>
        <v>#VALUE!</v>
      </c>
      <c r="Z95" s="57"/>
      <c r="AA95" s="57"/>
      <c r="AB95" s="57"/>
      <c r="AC95" s="57"/>
      <c r="AD95" s="57"/>
      <c r="AE95" s="57"/>
      <c r="AF95" s="57"/>
      <c r="AG95" s="57"/>
      <c r="AH95" s="57"/>
      <c r="AI95" s="57"/>
      <c r="AJ95" s="57"/>
      <c r="AK95" s="57"/>
      <c r="AL95" s="57"/>
      <c r="AM95" s="57"/>
      <c r="AN95" s="57"/>
      <c r="AO95" s="57"/>
      <c r="AP95" s="57"/>
      <c r="AQ95" s="57"/>
      <c r="AR95" s="57"/>
      <c r="AS95" s="57"/>
    </row>
    <row r="96" spans="1:45">
      <c r="A96" s="57">
        <v>6</v>
      </c>
      <c r="B96" s="57">
        <v>2032</v>
      </c>
      <c r="C96" s="62">
        <f>SUM('4. Metinis CAPEX'!L$9:L$14)</f>
        <v>0</v>
      </c>
      <c r="D96" s="62" cm="1">
        <f t="array" ref="D96">SUMPRODUCT('4. Metinis CAPEX'!L$9:L$14,IFERROR('2. Investicijos'!$N$5:$N$10/'2. Investicijos'!$H$5:$H$10,0))</f>
        <v>0</v>
      </c>
      <c r="E96" s="62" cm="1">
        <f t="array" ref="E96">SUMPRODUCT('4. Metinis CAPEX'!L$9:L$14,IFERROR(('2. Investicijos'!$I$5:$I$10+'2. Investicijos'!$J$5:$J$10+'2. Investicijos'!$K$5:$K$10+'2. Investicijos'!$L$5:$L$10)/'2. Investicijos'!$H$5:$H$10,0))</f>
        <v>0</v>
      </c>
      <c r="F96" s="62" cm="1">
        <f t="array" ref="F96">SUM('2. Investicijos'!$H$5:$H$10*IF('2. Investicijos'!$G$5:$G$10&lt;=35,30%,40%))</f>
        <v>0</v>
      </c>
      <c r="G96" s="62" cm="1">
        <f t="array" ref="G96">IF(AND(2032&gt;=2026,2032&lt;2026+'6. Aprašo scenarijus'!$C$4),SUM('2. Investicijos'!$H$5:$H$10*IF('2. Investicijos'!$G$5:$G$10&lt;=35,30%,40%))/'6. Aprašo scenarijus'!$C$4,0)</f>
        <v>0</v>
      </c>
      <c r="H96" s="62">
        <f t="shared" si="47"/>
        <v>0</v>
      </c>
      <c r="I96" s="62">
        <f>SUM(L$5:L$10)</f>
        <v>0</v>
      </c>
      <c r="J96" s="62" t="e" cm="1">
        <f t="array" ref="J96">K96+L96+MAX(0,-R95)*IFERROR(SUMPRODUCT(IF('2. Investicijos'!$N$5:$N$10&gt;('2. Investicijos'!$H$5:$H$10*IF('2. Investicijos'!$G$5:$G$10&lt;=35,30%,40%)),'2. Investicijos'!$N$5:$N$10-('2. Investicijos'!$H$5:$H$10*IF('2. Investicijos'!$G$5:$G$10&lt;=35,30%,40%)),0),'2. Investicijos'!$O$5:$O$10/100)/SUM(IF('2. Investicijos'!$N$5:$N$10&gt;('2. Investicijos'!$H$5:$H$10*IF('2. Investicijos'!$G$5:$G$10&lt;=35,30%,40%)),'2. Investicijos'!$N$5:$N$10-('2. Investicijos'!$H$5:$H$10*IF('2. Investicijos'!$G$5:$G$10&lt;=35,30%,40%)),0)),0)</f>
        <v>#VALUE!</v>
      </c>
      <c r="K96" s="62">
        <f>SUM(AF$5:AF$10)</f>
        <v>0</v>
      </c>
      <c r="L96" s="62">
        <f>SUM(V$5:V$10)</f>
        <v>0</v>
      </c>
      <c r="M96" s="62">
        <f>SUM(AP$5:AP$10)</f>
        <v>0</v>
      </c>
      <c r="N96" s="62">
        <f>'3. Finansinės prielaidos'!I30+M96</f>
        <v>0</v>
      </c>
      <c r="O96" s="62">
        <f>'3. Finansinės prielaidos'!I31</f>
        <v>0</v>
      </c>
      <c r="P96" s="62">
        <f>'3. Finansinės prielaidos'!I32</f>
        <v>0</v>
      </c>
      <c r="Q96" s="62" t="e">
        <f t="shared" si="48"/>
        <v>#VALUE!</v>
      </c>
      <c r="R96" s="62" t="e">
        <f>R95+('3. Finansinės prielaidos'!I31-'3. Finansinės prielaidos'!H31)+Q96</f>
        <v>#VALUE!</v>
      </c>
      <c r="S96" s="62" t="e" cm="1">
        <f t="array" ref="S96">SUMPRODUCT(--(2032&gt;'2. Investicijos'!$F$5:$F$10),--(2032&lt;='2. Investicijos'!$F$5:$F$10+'2. Investicijos'!$G$5:$G$10),IFERROR(('2. Investicijos'!$M$5:$M$10+IF('2. Investicijos'!$N$5:$N$10&gt;('2. Investicijos'!$H$5:$H$10*IF('2. Investicijos'!$G$5:$G$10&lt;=35,30%,40%)),'2. Investicijos'!$N$5:$N$10-('2. Investicijos'!$H$5:$H$10*IF('2. Investicijos'!$G$5:$G$10&lt;=35,30%,40%)),0)+('2. Investicijos'!$H$5:$H$10*IF('2. Investicijos'!$G$5:$G$10&lt;=35,30%,40%)))/'2. Investicijos'!$G$5:$G$10,0))+SUMPRODUCT(--(2032&gt;'2. Investicijos'!$F$5:$F$10),--(2032&lt;='2. Investicijos'!$F$5:$F$10+'2. Investicijos'!$G$5:$G$10),IFERROR(('2. Investicijos'!$M$5:$M$10+IF('2. Investicijos'!$N$5:$N$10&gt;('2. Investicijos'!$H$5:$H$10*IF('2. Investicijos'!$G$5:$G$10&lt;=35,30%,40%)),'2. Investicijos'!$N$5:$N$10-('2. Investicijos'!$H$5:$H$10*IF('2. Investicijos'!$G$5:$G$10&lt;=35,30%,40%)),0))*(1-((2032-'2. Investicijos'!$F$5:$F$10)-1)/'2. Investicijos'!$G$5:$G$10),0)*'5. 0% scenarijus'!$C$5)</f>
        <v>#VALUE!</v>
      </c>
      <c r="T96" s="62" t="e">
        <f>'3. Finansinės prielaidos'!I29+S96+G96</f>
        <v>#VALUE!</v>
      </c>
      <c r="U96" s="62" t="e">
        <f t="shared" si="49"/>
        <v>#VALUE!</v>
      </c>
      <c r="V96" s="72" t="e">
        <f t="shared" si="50"/>
        <v>#VALUE!</v>
      </c>
      <c r="W96" s="72" t="e">
        <f t="shared" si="51"/>
        <v>#VALUE!</v>
      </c>
      <c r="X96" s="57" t="e">
        <f t="shared" si="52"/>
        <v>#VALUE!</v>
      </c>
      <c r="Y96" s="57" t="e">
        <f t="shared" si="53"/>
        <v>#VALUE!</v>
      </c>
      <c r="Z96" s="57"/>
      <c r="AA96" s="57"/>
      <c r="AB96" s="57"/>
      <c r="AC96" s="57"/>
      <c r="AD96" s="57"/>
      <c r="AE96" s="57"/>
      <c r="AF96" s="57"/>
      <c r="AG96" s="57"/>
      <c r="AH96" s="57"/>
      <c r="AI96" s="57"/>
      <c r="AJ96" s="57"/>
      <c r="AK96" s="57"/>
      <c r="AL96" s="57"/>
      <c r="AM96" s="57"/>
      <c r="AN96" s="57"/>
      <c r="AO96" s="57"/>
      <c r="AP96" s="57"/>
      <c r="AQ96" s="57"/>
      <c r="AR96" s="57"/>
      <c r="AS96" s="57"/>
    </row>
    <row r="97" spans="1:45">
      <c r="A97" s="57">
        <v>6</v>
      </c>
      <c r="B97" s="57">
        <v>2033</v>
      </c>
      <c r="C97" s="62">
        <f>SUM('4. Metinis CAPEX'!M$9:M$14)</f>
        <v>0</v>
      </c>
      <c r="D97" s="62" cm="1">
        <f t="array" ref="D97">SUMPRODUCT('4. Metinis CAPEX'!M$9:M$14,IFERROR('2. Investicijos'!$N$5:$N$10/'2. Investicijos'!$H$5:$H$10,0))</f>
        <v>0</v>
      </c>
      <c r="E97" s="62" cm="1">
        <f t="array" ref="E97">SUMPRODUCT('4. Metinis CAPEX'!M$9:M$14,IFERROR(('2. Investicijos'!$I$5:$I$10+'2. Investicijos'!$J$5:$J$10+'2. Investicijos'!$K$5:$K$10+'2. Investicijos'!$L$5:$L$10)/'2. Investicijos'!$H$5:$H$10,0))</f>
        <v>0</v>
      </c>
      <c r="F97" s="62" cm="1">
        <f t="array" ref="F97">SUM('2. Investicijos'!$H$5:$H$10*IF('2. Investicijos'!$G$5:$G$10&lt;=35,30%,40%))</f>
        <v>0</v>
      </c>
      <c r="G97" s="62" cm="1">
        <f t="array" ref="G97">IF(AND(2033&gt;=2026,2033&lt;2026+'6. Aprašo scenarijus'!$C$4),SUM('2. Investicijos'!$H$5:$H$10*IF('2. Investicijos'!$G$5:$G$10&lt;=35,30%,40%))/'6. Aprašo scenarijus'!$C$4,0)</f>
        <v>0</v>
      </c>
      <c r="H97" s="62">
        <f t="shared" si="47"/>
        <v>0</v>
      </c>
      <c r="I97" s="62">
        <f>SUM(M$5:M$10)</f>
        <v>0</v>
      </c>
      <c r="J97" s="62" t="e" cm="1">
        <f t="array" ref="J97">K97+L97+MAX(0,-R96)*IFERROR(SUMPRODUCT(IF('2. Investicijos'!$N$5:$N$10&gt;('2. Investicijos'!$H$5:$H$10*IF('2. Investicijos'!$G$5:$G$10&lt;=35,30%,40%)),'2. Investicijos'!$N$5:$N$10-('2. Investicijos'!$H$5:$H$10*IF('2. Investicijos'!$G$5:$G$10&lt;=35,30%,40%)),0),'2. Investicijos'!$O$5:$O$10/100)/SUM(IF('2. Investicijos'!$N$5:$N$10&gt;('2. Investicijos'!$H$5:$H$10*IF('2. Investicijos'!$G$5:$G$10&lt;=35,30%,40%)),'2. Investicijos'!$N$5:$N$10-('2. Investicijos'!$H$5:$H$10*IF('2. Investicijos'!$G$5:$G$10&lt;=35,30%,40%)),0)),0)</f>
        <v>#VALUE!</v>
      </c>
      <c r="K97" s="62">
        <f>SUM(AG$5:AG$10)</f>
        <v>0</v>
      </c>
      <c r="L97" s="62">
        <f>SUM(W$5:W$10)</f>
        <v>0</v>
      </c>
      <c r="M97" s="62">
        <f>SUM(AQ$5:AQ$10)</f>
        <v>0</v>
      </c>
      <c r="N97" s="62">
        <f>'3. Finansinės prielaidos'!J30+M97</f>
        <v>0</v>
      </c>
      <c r="O97" s="62">
        <f>'3. Finansinės prielaidos'!J31</f>
        <v>0</v>
      </c>
      <c r="P97" s="62">
        <f>'3. Finansinės prielaidos'!J32</f>
        <v>0</v>
      </c>
      <c r="Q97" s="62" t="e">
        <f t="shared" si="48"/>
        <v>#VALUE!</v>
      </c>
      <c r="R97" s="62" t="e">
        <f>R96+('3. Finansinės prielaidos'!J31-'3. Finansinės prielaidos'!I31)+Q97</f>
        <v>#VALUE!</v>
      </c>
      <c r="S97" s="62" t="e" cm="1">
        <f t="array" ref="S97">SUMPRODUCT(--(2033&gt;'2. Investicijos'!$F$5:$F$10),--(2033&lt;='2. Investicijos'!$F$5:$F$10+'2. Investicijos'!$G$5:$G$10),IFERROR(('2. Investicijos'!$M$5:$M$10+IF('2. Investicijos'!$N$5:$N$10&gt;('2. Investicijos'!$H$5:$H$10*IF('2. Investicijos'!$G$5:$G$10&lt;=35,30%,40%)),'2. Investicijos'!$N$5:$N$10-('2. Investicijos'!$H$5:$H$10*IF('2. Investicijos'!$G$5:$G$10&lt;=35,30%,40%)),0)+('2. Investicijos'!$H$5:$H$10*IF('2. Investicijos'!$G$5:$G$10&lt;=35,30%,40%)))/'2. Investicijos'!$G$5:$G$10,0))+SUMPRODUCT(--(2033&gt;'2. Investicijos'!$F$5:$F$10),--(2033&lt;='2. Investicijos'!$F$5:$F$10+'2. Investicijos'!$G$5:$G$10),IFERROR(('2. Investicijos'!$M$5:$M$10+IF('2. Investicijos'!$N$5:$N$10&gt;('2. Investicijos'!$H$5:$H$10*IF('2. Investicijos'!$G$5:$G$10&lt;=35,30%,40%)),'2. Investicijos'!$N$5:$N$10-('2. Investicijos'!$H$5:$H$10*IF('2. Investicijos'!$G$5:$G$10&lt;=35,30%,40%)),0))*(1-((2033-'2. Investicijos'!$F$5:$F$10)-1)/'2. Investicijos'!$G$5:$G$10),0)*'5. 0% scenarijus'!$C$5)</f>
        <v>#VALUE!</v>
      </c>
      <c r="T97" s="62" t="e">
        <f>'3. Finansinės prielaidos'!J29+S97+G97</f>
        <v>#VALUE!</v>
      </c>
      <c r="U97" s="62" t="e">
        <f t="shared" si="49"/>
        <v>#VALUE!</v>
      </c>
      <c r="V97" s="72" t="e">
        <f t="shared" si="50"/>
        <v>#VALUE!</v>
      </c>
      <c r="W97" s="72" t="e">
        <f t="shared" si="51"/>
        <v>#VALUE!</v>
      </c>
      <c r="X97" s="57" t="e">
        <f t="shared" si="52"/>
        <v>#VALUE!</v>
      </c>
      <c r="Y97" s="57" t="e">
        <f t="shared" si="53"/>
        <v>#VALUE!</v>
      </c>
      <c r="Z97" s="57"/>
      <c r="AA97" s="57"/>
      <c r="AB97" s="57"/>
      <c r="AC97" s="57"/>
      <c r="AD97" s="57"/>
      <c r="AE97" s="57"/>
      <c r="AF97" s="57"/>
      <c r="AG97" s="57"/>
      <c r="AH97" s="57"/>
      <c r="AI97" s="57"/>
      <c r="AJ97" s="57"/>
      <c r="AK97" s="57"/>
      <c r="AL97" s="57"/>
      <c r="AM97" s="57"/>
      <c r="AN97" s="57"/>
      <c r="AO97" s="57"/>
      <c r="AP97" s="57"/>
      <c r="AQ97" s="57"/>
      <c r="AR97" s="57"/>
      <c r="AS97" s="57"/>
    </row>
    <row r="98" spans="1:45">
      <c r="A98" s="57">
        <v>6</v>
      </c>
      <c r="B98" s="57">
        <v>2034</v>
      </c>
      <c r="C98" s="62">
        <f>SUM('4. Metinis CAPEX'!N$9:N$14)</f>
        <v>0</v>
      </c>
      <c r="D98" s="62" cm="1">
        <f t="array" ref="D98">SUMPRODUCT('4. Metinis CAPEX'!N$9:N$14,IFERROR('2. Investicijos'!$N$5:$N$10/'2. Investicijos'!$H$5:$H$10,0))</f>
        <v>0</v>
      </c>
      <c r="E98" s="62" cm="1">
        <f t="array" ref="E98">SUMPRODUCT('4. Metinis CAPEX'!N$9:N$14,IFERROR(('2. Investicijos'!$I$5:$I$10+'2. Investicijos'!$J$5:$J$10+'2. Investicijos'!$K$5:$K$10+'2. Investicijos'!$L$5:$L$10)/'2. Investicijos'!$H$5:$H$10,0))</f>
        <v>0</v>
      </c>
      <c r="F98" s="62" cm="1">
        <f t="array" ref="F98">SUM('2. Investicijos'!$H$5:$H$10*IF('2. Investicijos'!$G$5:$G$10&lt;=35,30%,40%))</f>
        <v>0</v>
      </c>
      <c r="G98" s="62" cm="1">
        <f t="array" ref="G98">IF(AND(2034&gt;=2026,2034&lt;2026+'6. Aprašo scenarijus'!$C$4),SUM('2. Investicijos'!$H$5:$H$10*IF('2. Investicijos'!$G$5:$G$10&lt;=35,30%,40%))/'6. Aprašo scenarijus'!$C$4,0)</f>
        <v>0</v>
      </c>
      <c r="H98" s="62">
        <f t="shared" si="47"/>
        <v>0</v>
      </c>
      <c r="I98" s="62">
        <f>SUM(N$5:N$10)</f>
        <v>0</v>
      </c>
      <c r="J98" s="62" t="e" cm="1">
        <f t="array" ref="J98">K98+L98+MAX(0,-R97)*IFERROR(SUMPRODUCT(IF('2. Investicijos'!$N$5:$N$10&gt;('2. Investicijos'!$H$5:$H$10*IF('2. Investicijos'!$G$5:$G$10&lt;=35,30%,40%)),'2. Investicijos'!$N$5:$N$10-('2. Investicijos'!$H$5:$H$10*IF('2. Investicijos'!$G$5:$G$10&lt;=35,30%,40%)),0),'2. Investicijos'!$O$5:$O$10/100)/SUM(IF('2. Investicijos'!$N$5:$N$10&gt;('2. Investicijos'!$H$5:$H$10*IF('2. Investicijos'!$G$5:$G$10&lt;=35,30%,40%)),'2. Investicijos'!$N$5:$N$10-('2. Investicijos'!$H$5:$H$10*IF('2. Investicijos'!$G$5:$G$10&lt;=35,30%,40%)),0)),0)</f>
        <v>#VALUE!</v>
      </c>
      <c r="K98" s="62">
        <f>SUM(AH$5:AH$10)</f>
        <v>0</v>
      </c>
      <c r="L98" s="62">
        <f>SUM(X$5:X$10)</f>
        <v>0</v>
      </c>
      <c r="M98" s="62">
        <f>SUM(AR$5:AR$10)</f>
        <v>0</v>
      </c>
      <c r="N98" s="62">
        <f>'3. Finansinės prielaidos'!K30+M98</f>
        <v>0</v>
      </c>
      <c r="O98" s="62">
        <f>'3. Finansinės prielaidos'!K31</f>
        <v>0</v>
      </c>
      <c r="P98" s="62">
        <f>'3. Finansinės prielaidos'!K32</f>
        <v>0</v>
      </c>
      <c r="Q98" s="62" t="e">
        <f t="shared" si="48"/>
        <v>#VALUE!</v>
      </c>
      <c r="R98" s="62" t="e">
        <f>R97+('3. Finansinės prielaidos'!K31-'3. Finansinės prielaidos'!J31)+Q98</f>
        <v>#VALUE!</v>
      </c>
      <c r="S98" s="62" t="e" cm="1">
        <f t="array" ref="S98">SUMPRODUCT(--(2034&gt;'2. Investicijos'!$F$5:$F$10),--(2034&lt;='2. Investicijos'!$F$5:$F$10+'2. Investicijos'!$G$5:$G$10),IFERROR(('2. Investicijos'!$M$5:$M$10+IF('2. Investicijos'!$N$5:$N$10&gt;('2. Investicijos'!$H$5:$H$10*IF('2. Investicijos'!$G$5:$G$10&lt;=35,30%,40%)),'2. Investicijos'!$N$5:$N$10-('2. Investicijos'!$H$5:$H$10*IF('2. Investicijos'!$G$5:$G$10&lt;=35,30%,40%)),0)+('2. Investicijos'!$H$5:$H$10*IF('2. Investicijos'!$G$5:$G$10&lt;=35,30%,40%)))/'2. Investicijos'!$G$5:$G$10,0))+SUMPRODUCT(--(2034&gt;'2. Investicijos'!$F$5:$F$10),--(2034&lt;='2. Investicijos'!$F$5:$F$10+'2. Investicijos'!$G$5:$G$10),IFERROR(('2. Investicijos'!$M$5:$M$10+IF('2. Investicijos'!$N$5:$N$10&gt;('2. Investicijos'!$H$5:$H$10*IF('2. Investicijos'!$G$5:$G$10&lt;=35,30%,40%)),'2. Investicijos'!$N$5:$N$10-('2. Investicijos'!$H$5:$H$10*IF('2. Investicijos'!$G$5:$G$10&lt;=35,30%,40%)),0))*(1-((2034-'2. Investicijos'!$F$5:$F$10)-1)/'2. Investicijos'!$G$5:$G$10),0)*'5. 0% scenarijus'!$C$5)</f>
        <v>#VALUE!</v>
      </c>
      <c r="T98" s="62" t="e">
        <f>'3. Finansinės prielaidos'!K29+S98+G98</f>
        <v>#VALUE!</v>
      </c>
      <c r="U98" s="62" t="e">
        <f t="shared" si="49"/>
        <v>#VALUE!</v>
      </c>
      <c r="V98" s="72" t="e">
        <f t="shared" si="50"/>
        <v>#VALUE!</v>
      </c>
      <c r="W98" s="72" t="e">
        <f t="shared" si="51"/>
        <v>#VALUE!</v>
      </c>
      <c r="X98" s="57" t="e">
        <f t="shared" si="52"/>
        <v>#VALUE!</v>
      </c>
      <c r="Y98" s="57" t="e">
        <f t="shared" si="53"/>
        <v>#VALUE!</v>
      </c>
      <c r="Z98" s="57"/>
      <c r="AA98" s="57"/>
      <c r="AB98" s="57"/>
      <c r="AC98" s="57"/>
      <c r="AD98" s="57"/>
      <c r="AE98" s="57"/>
      <c r="AF98" s="57"/>
      <c r="AG98" s="57"/>
      <c r="AH98" s="57"/>
      <c r="AI98" s="57"/>
      <c r="AJ98" s="57"/>
      <c r="AK98" s="57"/>
      <c r="AL98" s="57"/>
      <c r="AM98" s="57"/>
      <c r="AN98" s="57"/>
      <c r="AO98" s="57"/>
      <c r="AP98" s="57"/>
      <c r="AQ98" s="57"/>
      <c r="AR98" s="57"/>
      <c r="AS98" s="57"/>
    </row>
    <row r="99" spans="1:45">
      <c r="A99" s="57">
        <v>6</v>
      </c>
      <c r="B99" s="57">
        <v>2035</v>
      </c>
      <c r="C99" s="62">
        <f>SUM('4. Metinis CAPEX'!O$9:O$14)</f>
        <v>0</v>
      </c>
      <c r="D99" s="62" cm="1">
        <f t="array" ref="D99">SUMPRODUCT('4. Metinis CAPEX'!O$9:O$14,IFERROR('2. Investicijos'!$N$5:$N$10/'2. Investicijos'!$H$5:$H$10,0))</f>
        <v>0</v>
      </c>
      <c r="E99" s="62" cm="1">
        <f t="array" ref="E99">SUMPRODUCT('4. Metinis CAPEX'!O$9:O$14,IFERROR(('2. Investicijos'!$I$5:$I$10+'2. Investicijos'!$J$5:$J$10+'2. Investicijos'!$K$5:$K$10+'2. Investicijos'!$L$5:$L$10)/'2. Investicijos'!$H$5:$H$10,0))</f>
        <v>0</v>
      </c>
      <c r="F99" s="62" cm="1">
        <f t="array" ref="F99">SUM('2. Investicijos'!$H$5:$H$10*IF('2. Investicijos'!$G$5:$G$10&lt;=35,30%,40%))</f>
        <v>0</v>
      </c>
      <c r="G99" s="62" cm="1">
        <f t="array" ref="G99">IF(AND(2035&gt;=2026,2035&lt;2026+'6. Aprašo scenarijus'!$C$4),SUM('2. Investicijos'!$H$5:$H$10*IF('2. Investicijos'!$G$5:$G$10&lt;=35,30%,40%))/'6. Aprašo scenarijus'!$C$4,0)</f>
        <v>0</v>
      </c>
      <c r="H99" s="62">
        <f t="shared" si="47"/>
        <v>0</v>
      </c>
      <c r="I99" s="62">
        <f>SUM(O$5:O$10)</f>
        <v>0</v>
      </c>
      <c r="J99" s="62" t="e" cm="1">
        <f t="array" ref="J99">K99+L99+MAX(0,-R98)*IFERROR(SUMPRODUCT(IF('2. Investicijos'!$N$5:$N$10&gt;('2. Investicijos'!$H$5:$H$10*IF('2. Investicijos'!$G$5:$G$10&lt;=35,30%,40%)),'2. Investicijos'!$N$5:$N$10-('2. Investicijos'!$H$5:$H$10*IF('2. Investicijos'!$G$5:$G$10&lt;=35,30%,40%)),0),'2. Investicijos'!$O$5:$O$10/100)/SUM(IF('2. Investicijos'!$N$5:$N$10&gt;('2. Investicijos'!$H$5:$H$10*IF('2. Investicijos'!$G$5:$G$10&lt;=35,30%,40%)),'2. Investicijos'!$N$5:$N$10-('2. Investicijos'!$H$5:$H$10*IF('2. Investicijos'!$G$5:$G$10&lt;=35,30%,40%)),0)),0)</f>
        <v>#VALUE!</v>
      </c>
      <c r="K99" s="62">
        <f>SUM(AI$5:AI$10)</f>
        <v>0</v>
      </c>
      <c r="L99" s="62">
        <f>SUM(Y$5:Y$10)</f>
        <v>0</v>
      </c>
      <c r="M99" s="62">
        <f>SUM(AS$5:AS$10)</f>
        <v>0</v>
      </c>
      <c r="N99" s="62">
        <f>'3. Finansinės prielaidos'!L30+M99</f>
        <v>0</v>
      </c>
      <c r="O99" s="62">
        <f>'3. Finansinės prielaidos'!L31</f>
        <v>0</v>
      </c>
      <c r="P99" s="62">
        <f>'3. Finansinės prielaidos'!L32</f>
        <v>0</v>
      </c>
      <c r="Q99" s="62" t="e">
        <f t="shared" si="48"/>
        <v>#VALUE!</v>
      </c>
      <c r="R99" s="62" t="e">
        <f>R98+('3. Finansinės prielaidos'!L31-'3. Finansinės prielaidos'!K31)+Q99</f>
        <v>#VALUE!</v>
      </c>
      <c r="S99" s="62" t="e" cm="1">
        <f t="array" ref="S99">SUMPRODUCT(--(2035&gt;'2. Investicijos'!$F$5:$F$10),--(2035&lt;='2. Investicijos'!$F$5:$F$10+'2. Investicijos'!$G$5:$G$10),IFERROR(('2. Investicijos'!$M$5:$M$10+IF('2. Investicijos'!$N$5:$N$10&gt;('2. Investicijos'!$H$5:$H$10*IF('2. Investicijos'!$G$5:$G$10&lt;=35,30%,40%)),'2. Investicijos'!$N$5:$N$10-('2. Investicijos'!$H$5:$H$10*IF('2. Investicijos'!$G$5:$G$10&lt;=35,30%,40%)),0)+('2. Investicijos'!$H$5:$H$10*IF('2. Investicijos'!$G$5:$G$10&lt;=35,30%,40%)))/'2. Investicijos'!$G$5:$G$10,0))+SUMPRODUCT(--(2035&gt;'2. Investicijos'!$F$5:$F$10),--(2035&lt;='2. Investicijos'!$F$5:$F$10+'2. Investicijos'!$G$5:$G$10),IFERROR(('2. Investicijos'!$M$5:$M$10+IF('2. Investicijos'!$N$5:$N$10&gt;('2. Investicijos'!$H$5:$H$10*IF('2. Investicijos'!$G$5:$G$10&lt;=35,30%,40%)),'2. Investicijos'!$N$5:$N$10-('2. Investicijos'!$H$5:$H$10*IF('2. Investicijos'!$G$5:$G$10&lt;=35,30%,40%)),0))*(1-((2035-'2. Investicijos'!$F$5:$F$10)-1)/'2. Investicijos'!$G$5:$G$10),0)*'5. 0% scenarijus'!$C$5)</f>
        <v>#VALUE!</v>
      </c>
      <c r="T99" s="62" t="e">
        <f>'3. Finansinės prielaidos'!L29+S99+G99</f>
        <v>#VALUE!</v>
      </c>
      <c r="U99" s="62" t="e">
        <f t="shared" si="49"/>
        <v>#VALUE!</v>
      </c>
      <c r="V99" s="72" t="e">
        <f t="shared" si="50"/>
        <v>#VALUE!</v>
      </c>
      <c r="W99" s="72" t="e">
        <f t="shared" si="51"/>
        <v>#VALUE!</v>
      </c>
      <c r="X99" s="57" t="e">
        <f t="shared" si="52"/>
        <v>#VALUE!</v>
      </c>
      <c r="Y99" s="57" t="e">
        <f t="shared" si="53"/>
        <v>#VALUE!</v>
      </c>
      <c r="Z99" s="57"/>
      <c r="AA99" s="57"/>
      <c r="AB99" s="57"/>
      <c r="AC99" s="57"/>
      <c r="AD99" s="57"/>
      <c r="AE99" s="57"/>
      <c r="AF99" s="57"/>
      <c r="AG99" s="57"/>
      <c r="AH99" s="57"/>
      <c r="AI99" s="57"/>
      <c r="AJ99" s="57"/>
      <c r="AK99" s="57"/>
      <c r="AL99" s="57"/>
      <c r="AM99" s="57"/>
      <c r="AN99" s="57"/>
      <c r="AO99" s="57"/>
      <c r="AP99" s="57"/>
      <c r="AQ99" s="57"/>
      <c r="AR99" s="57"/>
      <c r="AS99" s="57"/>
    </row>
    <row r="100" spans="1:45">
      <c r="A100" s="57">
        <v>7</v>
      </c>
      <c r="B100" s="57">
        <v>2026</v>
      </c>
      <c r="C100" s="62">
        <f>SUM('4. Metinis CAPEX'!F$9:F$15)</f>
        <v>0</v>
      </c>
      <c r="D100" s="62" cm="1">
        <f t="array" ref="D100">SUMPRODUCT('4. Metinis CAPEX'!F$9:F$15,IFERROR('2. Investicijos'!$N$5:$N$11/'2. Investicijos'!$H$5:$H$11,0))</f>
        <v>0</v>
      </c>
      <c r="E100" s="62" cm="1">
        <f t="array" ref="E100">SUMPRODUCT('4. Metinis CAPEX'!F$9:F$15,IFERROR(('2. Investicijos'!$I$5:$I$11+'2. Investicijos'!$J$5:$J$11+'2. Investicijos'!$K$5:$K$11+'2. Investicijos'!$L$5:$L$11)/'2. Investicijos'!$H$5:$H$11,0))</f>
        <v>0</v>
      </c>
      <c r="F100" s="62" cm="1">
        <f t="array" ref="F100">SUM('2. Investicijos'!$H$5:$H$11*IF('2. Investicijos'!$G$5:$G$11&lt;=35,30%,40%))</f>
        <v>0</v>
      </c>
      <c r="G100" s="62" cm="1">
        <f t="array" ref="G100">IF(AND(2026&gt;=2026,2026&lt;2026+'6. Aprašo scenarijus'!$C$4),SUM('2. Investicijos'!$H$5:$H$11*IF('2. Investicijos'!$G$5:$G$11&lt;=35,30%,40%))/'6. Aprašo scenarijus'!$C$4,0)</f>
        <v>0</v>
      </c>
      <c r="H100" s="62">
        <f t="shared" si="47"/>
        <v>0</v>
      </c>
      <c r="I100" s="62">
        <f>SUM(F$5:F$11)</f>
        <v>0</v>
      </c>
      <c r="J100" s="62">
        <f>0</f>
        <v>0</v>
      </c>
      <c r="K100" s="62">
        <f>SUM(Z$5:Z$11)</f>
        <v>0</v>
      </c>
      <c r="L100" s="62">
        <f>SUM(P$5:P$11)</f>
        <v>0</v>
      </c>
      <c r="M100" s="62">
        <f>SUM(AJ$5:AJ$11)</f>
        <v>0</v>
      </c>
      <c r="N100" s="62">
        <f>'3. Finansinės prielaidos'!C30+M100</f>
        <v>0</v>
      </c>
      <c r="O100" s="62">
        <f>'3. Finansinės prielaidos'!C31</f>
        <v>0</v>
      </c>
      <c r="P100" s="62">
        <f>'3. Finansinės prielaidos'!C32</f>
        <v>0</v>
      </c>
      <c r="Q100" s="62" t="e">
        <f t="shared" si="48"/>
        <v>#VALUE!</v>
      </c>
      <c r="R100" s="62" t="e">
        <f>O100+Q100</f>
        <v>#VALUE!</v>
      </c>
      <c r="S100" s="62" t="e" cm="1">
        <f t="array" ref="S100">SUMPRODUCT(--(2026&gt;'2. Investicijos'!$F$5:$F$11),--(2026&lt;='2. Investicijos'!$F$5:$F$11+'2. Investicijos'!$G$5:$G$11),IFERROR(('2. Investicijos'!$M$5:$M$11+IF('2. Investicijos'!$N$5:$N$11&gt;('2. Investicijos'!$H$5:$H$11*IF('2. Investicijos'!$G$5:$G$11&lt;=35,30%,40%)),'2. Investicijos'!$N$5:$N$11-('2. Investicijos'!$H$5:$H$11*IF('2. Investicijos'!$G$5:$G$11&lt;=35,30%,40%)),0)+('2. Investicijos'!$H$5:$H$11*IF('2. Investicijos'!$G$5:$G$11&lt;=35,30%,40%)))/'2. Investicijos'!$G$5:$G$11,0))+SUMPRODUCT(--(2026&gt;'2. Investicijos'!$F$5:$F$11),--(2026&lt;='2. Investicijos'!$F$5:$F$11+'2. Investicijos'!$G$5:$G$11),IFERROR(('2. Investicijos'!$M$5:$M$11+IF('2. Investicijos'!$N$5:$N$11&gt;('2. Investicijos'!$H$5:$H$11*IF('2. Investicijos'!$G$5:$G$11&lt;=35,30%,40%)),'2. Investicijos'!$N$5:$N$11-('2. Investicijos'!$H$5:$H$11*IF('2. Investicijos'!$G$5:$G$11&lt;=35,30%,40%)),0))*(1-((2026-'2. Investicijos'!$F$5:$F$11)-1)/'2. Investicijos'!$G$5:$G$11),0)*'5. 0% scenarijus'!$C$5)</f>
        <v>#VALUE!</v>
      </c>
      <c r="T100" s="62" t="e">
        <f>'3. Finansinės prielaidos'!C29+S100+G100</f>
        <v>#VALUE!</v>
      </c>
      <c r="U100" s="62" t="e">
        <f t="shared" si="49"/>
        <v>#VALUE!</v>
      </c>
      <c r="V100" s="72" t="e">
        <f t="shared" si="50"/>
        <v>#VALUE!</v>
      </c>
      <c r="W100" s="72" t="e">
        <f t="shared" si="51"/>
        <v>#VALUE!</v>
      </c>
      <c r="X100" s="57" t="e">
        <f t="shared" si="52"/>
        <v>#VALUE!</v>
      </c>
      <c r="Y100" s="57" t="e">
        <f t="shared" si="53"/>
        <v>#VALUE!</v>
      </c>
      <c r="Z100" s="57"/>
      <c r="AA100" s="57"/>
      <c r="AB100" s="57"/>
      <c r="AC100" s="57"/>
      <c r="AD100" s="57"/>
      <c r="AE100" s="57"/>
      <c r="AF100" s="57"/>
      <c r="AG100" s="57"/>
      <c r="AH100" s="57"/>
      <c r="AI100" s="57"/>
      <c r="AJ100" s="57"/>
      <c r="AK100" s="57"/>
      <c r="AL100" s="57"/>
      <c r="AM100" s="57"/>
      <c r="AN100" s="57"/>
      <c r="AO100" s="57"/>
      <c r="AP100" s="57"/>
      <c r="AQ100" s="57"/>
      <c r="AR100" s="57"/>
      <c r="AS100" s="57"/>
    </row>
    <row r="101" spans="1:45">
      <c r="A101" s="57">
        <v>7</v>
      </c>
      <c r="B101" s="57">
        <v>2027</v>
      </c>
      <c r="C101" s="62">
        <f>SUM('4. Metinis CAPEX'!G$9:G$15)</f>
        <v>0</v>
      </c>
      <c r="D101" s="62" cm="1">
        <f t="array" ref="D101">SUMPRODUCT('4. Metinis CAPEX'!G$9:G$15,IFERROR('2. Investicijos'!$N$5:$N$11/'2. Investicijos'!$H$5:$H$11,0))</f>
        <v>0</v>
      </c>
      <c r="E101" s="62" cm="1">
        <f t="array" ref="E101">SUMPRODUCT('4. Metinis CAPEX'!G$9:G$15,IFERROR(('2. Investicijos'!$I$5:$I$11+'2. Investicijos'!$J$5:$J$11+'2. Investicijos'!$K$5:$K$11+'2. Investicijos'!$L$5:$L$11)/'2. Investicijos'!$H$5:$H$11,0))</f>
        <v>0</v>
      </c>
      <c r="F101" s="62" cm="1">
        <f t="array" ref="F101">SUM('2. Investicijos'!$H$5:$H$11*IF('2. Investicijos'!$G$5:$G$11&lt;=35,30%,40%))</f>
        <v>0</v>
      </c>
      <c r="G101" s="62" cm="1">
        <f t="array" ref="G101">IF(AND(2027&gt;=2026,2027&lt;2026+'6. Aprašo scenarijus'!$C$4),SUM('2. Investicijos'!$H$5:$H$11*IF('2. Investicijos'!$G$5:$G$11&lt;=35,30%,40%))/'6. Aprašo scenarijus'!$C$4,0)</f>
        <v>0</v>
      </c>
      <c r="H101" s="62">
        <f t="shared" si="47"/>
        <v>0</v>
      </c>
      <c r="I101" s="62">
        <f>SUM(G$5:G$11)</f>
        <v>0</v>
      </c>
      <c r="J101" s="62" t="e" cm="1">
        <f t="array" ref="J101">K101+L101+MAX(0,-R100)*IFERROR(SUMPRODUCT(IF('2. Investicijos'!$N$5:$N$11&gt;('2. Investicijos'!$H$5:$H$11*IF('2. Investicijos'!$G$5:$G$11&lt;=35,30%,40%)),'2. Investicijos'!$N$5:$N$11-('2. Investicijos'!$H$5:$H$11*IF('2. Investicijos'!$G$5:$G$11&lt;=35,30%,40%)),0),'2. Investicijos'!$O$5:$O$11/100)/SUM(IF('2. Investicijos'!$N$5:$N$11&gt;('2. Investicijos'!$H$5:$H$11*IF('2. Investicijos'!$G$5:$G$11&lt;=35,30%,40%)),'2. Investicijos'!$N$5:$N$11-('2. Investicijos'!$H$5:$H$11*IF('2. Investicijos'!$G$5:$G$11&lt;=35,30%,40%)),0)),0)</f>
        <v>#VALUE!</v>
      </c>
      <c r="K101" s="62">
        <f>SUM(AA$5:AA$11)</f>
        <v>0</v>
      </c>
      <c r="L101" s="62">
        <f>SUM(Q$5:Q$11)</f>
        <v>0</v>
      </c>
      <c r="M101" s="62">
        <f>SUM(AK$5:AK$11)</f>
        <v>0</v>
      </c>
      <c r="N101" s="62">
        <f>'3. Finansinės prielaidos'!D30+M101</f>
        <v>0</v>
      </c>
      <c r="O101" s="62">
        <f>'3. Finansinės prielaidos'!D31</f>
        <v>0</v>
      </c>
      <c r="P101" s="62">
        <f>'3. Finansinės prielaidos'!D32</f>
        <v>0</v>
      </c>
      <c r="Q101" s="62" t="e">
        <f t="shared" si="48"/>
        <v>#VALUE!</v>
      </c>
      <c r="R101" s="62" t="e">
        <f>R100+('3. Finansinės prielaidos'!D31-'3. Finansinės prielaidos'!C31)+Q101</f>
        <v>#VALUE!</v>
      </c>
      <c r="S101" s="62" t="e" cm="1">
        <f t="array" ref="S101">SUMPRODUCT(--(2027&gt;'2. Investicijos'!$F$5:$F$11),--(2027&lt;='2. Investicijos'!$F$5:$F$11+'2. Investicijos'!$G$5:$G$11),IFERROR(('2. Investicijos'!$M$5:$M$11+IF('2. Investicijos'!$N$5:$N$11&gt;('2. Investicijos'!$H$5:$H$11*IF('2. Investicijos'!$G$5:$G$11&lt;=35,30%,40%)),'2. Investicijos'!$N$5:$N$11-('2. Investicijos'!$H$5:$H$11*IF('2. Investicijos'!$G$5:$G$11&lt;=35,30%,40%)),0)+('2. Investicijos'!$H$5:$H$11*IF('2. Investicijos'!$G$5:$G$11&lt;=35,30%,40%)))/'2. Investicijos'!$G$5:$G$11,0))+SUMPRODUCT(--(2027&gt;'2. Investicijos'!$F$5:$F$11),--(2027&lt;='2. Investicijos'!$F$5:$F$11+'2. Investicijos'!$G$5:$G$11),IFERROR(('2. Investicijos'!$M$5:$M$11+IF('2. Investicijos'!$N$5:$N$11&gt;('2. Investicijos'!$H$5:$H$11*IF('2. Investicijos'!$G$5:$G$11&lt;=35,30%,40%)),'2. Investicijos'!$N$5:$N$11-('2. Investicijos'!$H$5:$H$11*IF('2. Investicijos'!$G$5:$G$11&lt;=35,30%,40%)),0))*(1-((2027-'2. Investicijos'!$F$5:$F$11)-1)/'2. Investicijos'!$G$5:$G$11),0)*'5. 0% scenarijus'!$C$5)</f>
        <v>#VALUE!</v>
      </c>
      <c r="T101" s="62" t="e">
        <f>'3. Finansinės prielaidos'!D29+S101+G101</f>
        <v>#VALUE!</v>
      </c>
      <c r="U101" s="62" t="e">
        <f t="shared" si="49"/>
        <v>#VALUE!</v>
      </c>
      <c r="V101" s="72" t="e">
        <f t="shared" si="50"/>
        <v>#VALUE!</v>
      </c>
      <c r="W101" s="72" t="e">
        <f t="shared" si="51"/>
        <v>#VALUE!</v>
      </c>
      <c r="X101" s="57" t="e">
        <f t="shared" si="52"/>
        <v>#VALUE!</v>
      </c>
      <c r="Y101" s="57" t="e">
        <f t="shared" si="53"/>
        <v>#VALUE!</v>
      </c>
      <c r="Z101" s="57"/>
      <c r="AA101" s="57"/>
      <c r="AB101" s="57"/>
      <c r="AC101" s="57"/>
      <c r="AD101" s="57"/>
      <c r="AE101" s="57"/>
      <c r="AF101" s="57"/>
      <c r="AG101" s="57"/>
      <c r="AH101" s="57"/>
      <c r="AI101" s="57"/>
      <c r="AJ101" s="57"/>
      <c r="AK101" s="57"/>
      <c r="AL101" s="57"/>
      <c r="AM101" s="57"/>
      <c r="AN101" s="57"/>
      <c r="AO101" s="57"/>
      <c r="AP101" s="57"/>
      <c r="AQ101" s="57"/>
      <c r="AR101" s="57"/>
      <c r="AS101" s="57"/>
    </row>
    <row r="102" spans="1:45">
      <c r="A102" s="57">
        <v>7</v>
      </c>
      <c r="B102" s="57">
        <v>2028</v>
      </c>
      <c r="C102" s="62">
        <f>SUM('4. Metinis CAPEX'!H$9:H$15)</f>
        <v>0</v>
      </c>
      <c r="D102" s="62" cm="1">
        <f t="array" ref="D102">SUMPRODUCT('4. Metinis CAPEX'!H$9:H$15,IFERROR('2. Investicijos'!$N$5:$N$11/'2. Investicijos'!$H$5:$H$11,0))</f>
        <v>0</v>
      </c>
      <c r="E102" s="62" cm="1">
        <f t="array" ref="E102">SUMPRODUCT('4. Metinis CAPEX'!H$9:H$15,IFERROR(('2. Investicijos'!$I$5:$I$11+'2. Investicijos'!$J$5:$J$11+'2. Investicijos'!$K$5:$K$11+'2. Investicijos'!$L$5:$L$11)/'2. Investicijos'!$H$5:$H$11,0))</f>
        <v>0</v>
      </c>
      <c r="F102" s="62" cm="1">
        <f t="array" ref="F102">SUM('2. Investicijos'!$H$5:$H$11*IF('2. Investicijos'!$G$5:$G$11&lt;=35,30%,40%))</f>
        <v>0</v>
      </c>
      <c r="G102" s="62" cm="1">
        <f t="array" ref="G102">IF(AND(2028&gt;=2026,2028&lt;2026+'6. Aprašo scenarijus'!$C$4),SUM('2. Investicijos'!$H$5:$H$11*IF('2. Investicijos'!$G$5:$G$11&lt;=35,30%,40%))/'6. Aprašo scenarijus'!$C$4,0)</f>
        <v>0</v>
      </c>
      <c r="H102" s="62">
        <f t="shared" si="47"/>
        <v>0</v>
      </c>
      <c r="I102" s="62">
        <f>SUM(H$5:H$11)</f>
        <v>0</v>
      </c>
      <c r="J102" s="62" t="e" cm="1">
        <f t="array" ref="J102">K102+L102+MAX(0,-R101)*IFERROR(SUMPRODUCT(IF('2. Investicijos'!$N$5:$N$11&gt;('2. Investicijos'!$H$5:$H$11*IF('2. Investicijos'!$G$5:$G$11&lt;=35,30%,40%)),'2. Investicijos'!$N$5:$N$11-('2. Investicijos'!$H$5:$H$11*IF('2. Investicijos'!$G$5:$G$11&lt;=35,30%,40%)),0),'2. Investicijos'!$O$5:$O$11/100)/SUM(IF('2. Investicijos'!$N$5:$N$11&gt;('2. Investicijos'!$H$5:$H$11*IF('2. Investicijos'!$G$5:$G$11&lt;=35,30%,40%)),'2. Investicijos'!$N$5:$N$11-('2. Investicijos'!$H$5:$H$11*IF('2. Investicijos'!$G$5:$G$11&lt;=35,30%,40%)),0)),0)</f>
        <v>#VALUE!</v>
      </c>
      <c r="K102" s="62">
        <f>SUM(AB$5:AB$11)</f>
        <v>0</v>
      </c>
      <c r="L102" s="62">
        <f>SUM(R$5:R$11)</f>
        <v>0</v>
      </c>
      <c r="M102" s="62">
        <f>SUM(AL$5:AL$11)</f>
        <v>0</v>
      </c>
      <c r="N102" s="62">
        <f>'3. Finansinės prielaidos'!E30+M102</f>
        <v>0</v>
      </c>
      <c r="O102" s="62">
        <f>'3. Finansinės prielaidos'!E31</f>
        <v>0</v>
      </c>
      <c r="P102" s="62">
        <f>'3. Finansinės prielaidos'!E32</f>
        <v>0</v>
      </c>
      <c r="Q102" s="62" t="e">
        <f t="shared" si="48"/>
        <v>#VALUE!</v>
      </c>
      <c r="R102" s="62" t="e">
        <f>R101+('3. Finansinės prielaidos'!E31-'3. Finansinės prielaidos'!D31)+Q102</f>
        <v>#VALUE!</v>
      </c>
      <c r="S102" s="62" t="e" cm="1">
        <f t="array" ref="S102">SUMPRODUCT(--(2028&gt;'2. Investicijos'!$F$5:$F$11),--(2028&lt;='2. Investicijos'!$F$5:$F$11+'2. Investicijos'!$G$5:$G$11),IFERROR(('2. Investicijos'!$M$5:$M$11+IF('2. Investicijos'!$N$5:$N$11&gt;('2. Investicijos'!$H$5:$H$11*IF('2. Investicijos'!$G$5:$G$11&lt;=35,30%,40%)),'2. Investicijos'!$N$5:$N$11-('2. Investicijos'!$H$5:$H$11*IF('2. Investicijos'!$G$5:$G$11&lt;=35,30%,40%)),0)+('2. Investicijos'!$H$5:$H$11*IF('2. Investicijos'!$G$5:$G$11&lt;=35,30%,40%)))/'2. Investicijos'!$G$5:$G$11,0))+SUMPRODUCT(--(2028&gt;'2. Investicijos'!$F$5:$F$11),--(2028&lt;='2. Investicijos'!$F$5:$F$11+'2. Investicijos'!$G$5:$G$11),IFERROR(('2. Investicijos'!$M$5:$M$11+IF('2. Investicijos'!$N$5:$N$11&gt;('2. Investicijos'!$H$5:$H$11*IF('2. Investicijos'!$G$5:$G$11&lt;=35,30%,40%)),'2. Investicijos'!$N$5:$N$11-('2. Investicijos'!$H$5:$H$11*IF('2. Investicijos'!$G$5:$G$11&lt;=35,30%,40%)),0))*(1-((2028-'2. Investicijos'!$F$5:$F$11)-1)/'2. Investicijos'!$G$5:$G$11),0)*'5. 0% scenarijus'!$C$5)</f>
        <v>#VALUE!</v>
      </c>
      <c r="T102" s="62" t="e">
        <f>'3. Finansinės prielaidos'!E29+S102+G102</f>
        <v>#VALUE!</v>
      </c>
      <c r="U102" s="62" t="e">
        <f t="shared" si="49"/>
        <v>#VALUE!</v>
      </c>
      <c r="V102" s="72" t="e">
        <f t="shared" si="50"/>
        <v>#VALUE!</v>
      </c>
      <c r="W102" s="72" t="e">
        <f t="shared" si="51"/>
        <v>#VALUE!</v>
      </c>
      <c r="X102" s="57" t="e">
        <f t="shared" si="52"/>
        <v>#VALUE!</v>
      </c>
      <c r="Y102" s="57" t="e">
        <f t="shared" si="53"/>
        <v>#VALUE!</v>
      </c>
      <c r="Z102" s="57"/>
      <c r="AA102" s="57"/>
      <c r="AB102" s="57"/>
      <c r="AC102" s="57"/>
      <c r="AD102" s="57"/>
      <c r="AE102" s="57"/>
      <c r="AF102" s="57"/>
      <c r="AG102" s="57"/>
      <c r="AH102" s="57"/>
      <c r="AI102" s="57"/>
      <c r="AJ102" s="57"/>
      <c r="AK102" s="57"/>
      <c r="AL102" s="57"/>
      <c r="AM102" s="57"/>
      <c r="AN102" s="57"/>
      <c r="AO102" s="57"/>
      <c r="AP102" s="57"/>
      <c r="AQ102" s="57"/>
      <c r="AR102" s="57"/>
      <c r="AS102" s="57"/>
    </row>
    <row r="103" spans="1:45">
      <c r="A103" s="57">
        <v>7</v>
      </c>
      <c r="B103" s="57">
        <v>2029</v>
      </c>
      <c r="C103" s="62">
        <f>SUM('4. Metinis CAPEX'!I$9:I$15)</f>
        <v>0</v>
      </c>
      <c r="D103" s="62" cm="1">
        <f t="array" ref="D103">SUMPRODUCT('4. Metinis CAPEX'!I$9:I$15,IFERROR('2. Investicijos'!$N$5:$N$11/'2. Investicijos'!$H$5:$H$11,0))</f>
        <v>0</v>
      </c>
      <c r="E103" s="62" cm="1">
        <f t="array" ref="E103">SUMPRODUCT('4. Metinis CAPEX'!I$9:I$15,IFERROR(('2. Investicijos'!$I$5:$I$11+'2. Investicijos'!$J$5:$J$11+'2. Investicijos'!$K$5:$K$11+'2. Investicijos'!$L$5:$L$11)/'2. Investicijos'!$H$5:$H$11,0))</f>
        <v>0</v>
      </c>
      <c r="F103" s="62" cm="1">
        <f t="array" ref="F103">SUM('2. Investicijos'!$H$5:$H$11*IF('2. Investicijos'!$G$5:$G$11&lt;=35,30%,40%))</f>
        <v>0</v>
      </c>
      <c r="G103" s="62" cm="1">
        <f t="array" ref="G103">IF(AND(2029&gt;=2026,2029&lt;2026+'6. Aprašo scenarijus'!$C$4),SUM('2. Investicijos'!$H$5:$H$11*IF('2. Investicijos'!$G$5:$G$11&lt;=35,30%,40%))/'6. Aprašo scenarijus'!$C$4,0)</f>
        <v>0</v>
      </c>
      <c r="H103" s="62">
        <f t="shared" si="47"/>
        <v>0</v>
      </c>
      <c r="I103" s="62">
        <f>SUM(I$5:I$11)</f>
        <v>0</v>
      </c>
      <c r="J103" s="62" t="e" cm="1">
        <f t="array" ref="J103">K103+L103+MAX(0,-R102)*IFERROR(SUMPRODUCT(IF('2. Investicijos'!$N$5:$N$11&gt;('2. Investicijos'!$H$5:$H$11*IF('2. Investicijos'!$G$5:$G$11&lt;=35,30%,40%)),'2. Investicijos'!$N$5:$N$11-('2. Investicijos'!$H$5:$H$11*IF('2. Investicijos'!$G$5:$G$11&lt;=35,30%,40%)),0),'2. Investicijos'!$O$5:$O$11/100)/SUM(IF('2. Investicijos'!$N$5:$N$11&gt;('2. Investicijos'!$H$5:$H$11*IF('2. Investicijos'!$G$5:$G$11&lt;=35,30%,40%)),'2. Investicijos'!$N$5:$N$11-('2. Investicijos'!$H$5:$H$11*IF('2. Investicijos'!$G$5:$G$11&lt;=35,30%,40%)),0)),0)</f>
        <v>#VALUE!</v>
      </c>
      <c r="K103" s="62">
        <f>SUM(AC$5:AC$11)</f>
        <v>0</v>
      </c>
      <c r="L103" s="62">
        <f>SUM(S$5:S$11)</f>
        <v>0</v>
      </c>
      <c r="M103" s="62">
        <f>SUM(AM$5:AM$11)</f>
        <v>0</v>
      </c>
      <c r="N103" s="62">
        <f>'3. Finansinės prielaidos'!F30+M103</f>
        <v>0</v>
      </c>
      <c r="O103" s="62">
        <f>'3. Finansinės prielaidos'!F31</f>
        <v>0</v>
      </c>
      <c r="P103" s="62">
        <f>'3. Finansinės prielaidos'!F32</f>
        <v>0</v>
      </c>
      <c r="Q103" s="62" t="e">
        <f t="shared" si="48"/>
        <v>#VALUE!</v>
      </c>
      <c r="R103" s="62" t="e">
        <f>R102+('3. Finansinės prielaidos'!F31-'3. Finansinės prielaidos'!E31)+Q103</f>
        <v>#VALUE!</v>
      </c>
      <c r="S103" s="62" t="e" cm="1">
        <f t="array" ref="S103">SUMPRODUCT(--(2029&gt;'2. Investicijos'!$F$5:$F$11),--(2029&lt;='2. Investicijos'!$F$5:$F$11+'2. Investicijos'!$G$5:$G$11),IFERROR(('2. Investicijos'!$M$5:$M$11+IF('2. Investicijos'!$N$5:$N$11&gt;('2. Investicijos'!$H$5:$H$11*IF('2. Investicijos'!$G$5:$G$11&lt;=35,30%,40%)),'2. Investicijos'!$N$5:$N$11-('2. Investicijos'!$H$5:$H$11*IF('2. Investicijos'!$G$5:$G$11&lt;=35,30%,40%)),0)+('2. Investicijos'!$H$5:$H$11*IF('2. Investicijos'!$G$5:$G$11&lt;=35,30%,40%)))/'2. Investicijos'!$G$5:$G$11,0))+SUMPRODUCT(--(2029&gt;'2. Investicijos'!$F$5:$F$11),--(2029&lt;='2. Investicijos'!$F$5:$F$11+'2. Investicijos'!$G$5:$G$11),IFERROR(('2. Investicijos'!$M$5:$M$11+IF('2. Investicijos'!$N$5:$N$11&gt;('2. Investicijos'!$H$5:$H$11*IF('2. Investicijos'!$G$5:$G$11&lt;=35,30%,40%)),'2. Investicijos'!$N$5:$N$11-('2. Investicijos'!$H$5:$H$11*IF('2. Investicijos'!$G$5:$G$11&lt;=35,30%,40%)),0))*(1-((2029-'2. Investicijos'!$F$5:$F$11)-1)/'2. Investicijos'!$G$5:$G$11),0)*'5. 0% scenarijus'!$C$5)</f>
        <v>#VALUE!</v>
      </c>
      <c r="T103" s="62" t="e">
        <f>'3. Finansinės prielaidos'!F29+S103+G103</f>
        <v>#VALUE!</v>
      </c>
      <c r="U103" s="62" t="e">
        <f t="shared" si="49"/>
        <v>#VALUE!</v>
      </c>
      <c r="V103" s="72" t="e">
        <f t="shared" si="50"/>
        <v>#VALUE!</v>
      </c>
      <c r="W103" s="72" t="e">
        <f t="shared" si="51"/>
        <v>#VALUE!</v>
      </c>
      <c r="X103" s="57" t="e">
        <f t="shared" si="52"/>
        <v>#VALUE!</v>
      </c>
      <c r="Y103" s="57" t="e">
        <f t="shared" si="53"/>
        <v>#VALUE!</v>
      </c>
      <c r="Z103" s="57"/>
      <c r="AA103" s="57"/>
      <c r="AB103" s="57"/>
      <c r="AC103" s="57"/>
      <c r="AD103" s="57"/>
      <c r="AE103" s="57"/>
      <c r="AF103" s="57"/>
      <c r="AG103" s="57"/>
      <c r="AH103" s="57"/>
      <c r="AI103" s="57"/>
      <c r="AJ103" s="57"/>
      <c r="AK103" s="57"/>
      <c r="AL103" s="57"/>
      <c r="AM103" s="57"/>
      <c r="AN103" s="57"/>
      <c r="AO103" s="57"/>
      <c r="AP103" s="57"/>
      <c r="AQ103" s="57"/>
      <c r="AR103" s="57"/>
      <c r="AS103" s="57"/>
    </row>
    <row r="104" spans="1:45">
      <c r="A104" s="57">
        <v>7</v>
      </c>
      <c r="B104" s="57">
        <v>2030</v>
      </c>
      <c r="C104" s="62">
        <f>SUM('4. Metinis CAPEX'!J$9:J$15)</f>
        <v>0</v>
      </c>
      <c r="D104" s="62" cm="1">
        <f t="array" ref="D104">SUMPRODUCT('4. Metinis CAPEX'!J$9:J$15,IFERROR('2. Investicijos'!$N$5:$N$11/'2. Investicijos'!$H$5:$H$11,0))</f>
        <v>0</v>
      </c>
      <c r="E104" s="62" cm="1">
        <f t="array" ref="E104">SUMPRODUCT('4. Metinis CAPEX'!J$9:J$15,IFERROR(('2. Investicijos'!$I$5:$I$11+'2. Investicijos'!$J$5:$J$11+'2. Investicijos'!$K$5:$K$11+'2. Investicijos'!$L$5:$L$11)/'2. Investicijos'!$H$5:$H$11,0))</f>
        <v>0</v>
      </c>
      <c r="F104" s="62" cm="1">
        <f t="array" ref="F104">SUM('2. Investicijos'!$H$5:$H$11*IF('2. Investicijos'!$G$5:$G$11&lt;=35,30%,40%))</f>
        <v>0</v>
      </c>
      <c r="G104" s="62" cm="1">
        <f t="array" ref="G104">IF(AND(2030&gt;=2026,2030&lt;2026+'6. Aprašo scenarijus'!$C$4),SUM('2. Investicijos'!$H$5:$H$11*IF('2. Investicijos'!$G$5:$G$11&lt;=35,30%,40%))/'6. Aprašo scenarijus'!$C$4,0)</f>
        <v>0</v>
      </c>
      <c r="H104" s="62">
        <f t="shared" ref="H104:H135" si="54">D104-I104</f>
        <v>0</v>
      </c>
      <c r="I104" s="62">
        <f>SUM(J$5:J$11)</f>
        <v>0</v>
      </c>
      <c r="J104" s="62" t="e" cm="1">
        <f t="array" ref="J104">K104+L104+MAX(0,-R103)*IFERROR(SUMPRODUCT(IF('2. Investicijos'!$N$5:$N$11&gt;('2. Investicijos'!$H$5:$H$11*IF('2. Investicijos'!$G$5:$G$11&lt;=35,30%,40%)),'2. Investicijos'!$N$5:$N$11-('2. Investicijos'!$H$5:$H$11*IF('2. Investicijos'!$G$5:$G$11&lt;=35,30%,40%)),0),'2. Investicijos'!$O$5:$O$11/100)/SUM(IF('2. Investicijos'!$N$5:$N$11&gt;('2. Investicijos'!$H$5:$H$11*IF('2. Investicijos'!$G$5:$G$11&lt;=35,30%,40%)),'2. Investicijos'!$N$5:$N$11-('2. Investicijos'!$H$5:$H$11*IF('2. Investicijos'!$G$5:$G$11&lt;=35,30%,40%)),0)),0)</f>
        <v>#VALUE!</v>
      </c>
      <c r="K104" s="62">
        <f>SUM(AD$5:AD$11)</f>
        <v>0</v>
      </c>
      <c r="L104" s="62">
        <f>SUM(T$5:T$11)</f>
        <v>0</v>
      </c>
      <c r="M104" s="62">
        <f>SUM(AN$5:AN$11)</f>
        <v>0</v>
      </c>
      <c r="N104" s="62">
        <f>'3. Finansinės prielaidos'!G30+M104</f>
        <v>0</v>
      </c>
      <c r="O104" s="62">
        <f>'3. Finansinės prielaidos'!G31</f>
        <v>0</v>
      </c>
      <c r="P104" s="62">
        <f>'3. Finansinės prielaidos'!G32</f>
        <v>0</v>
      </c>
      <c r="Q104" s="62" t="e">
        <f t="shared" ref="Q104:Q135" si="55">S104+G104+I104+E104-C104-J104</f>
        <v>#VALUE!</v>
      </c>
      <c r="R104" s="62" t="e">
        <f>R103+('3. Finansinės prielaidos'!G31-'3. Finansinės prielaidos'!F31)+Q104</f>
        <v>#VALUE!</v>
      </c>
      <c r="S104" s="62" t="e" cm="1">
        <f t="array" ref="S104">SUMPRODUCT(--(2030&gt;'2. Investicijos'!$F$5:$F$11),--(2030&lt;='2. Investicijos'!$F$5:$F$11+'2. Investicijos'!$G$5:$G$11),IFERROR(('2. Investicijos'!$M$5:$M$11+IF('2. Investicijos'!$N$5:$N$11&gt;('2. Investicijos'!$H$5:$H$11*IF('2. Investicijos'!$G$5:$G$11&lt;=35,30%,40%)),'2. Investicijos'!$N$5:$N$11-('2. Investicijos'!$H$5:$H$11*IF('2. Investicijos'!$G$5:$G$11&lt;=35,30%,40%)),0)+('2. Investicijos'!$H$5:$H$11*IF('2. Investicijos'!$G$5:$G$11&lt;=35,30%,40%)))/'2. Investicijos'!$G$5:$G$11,0))+SUMPRODUCT(--(2030&gt;'2. Investicijos'!$F$5:$F$11),--(2030&lt;='2. Investicijos'!$F$5:$F$11+'2. Investicijos'!$G$5:$G$11),IFERROR(('2. Investicijos'!$M$5:$M$11+IF('2. Investicijos'!$N$5:$N$11&gt;('2. Investicijos'!$H$5:$H$11*IF('2. Investicijos'!$G$5:$G$11&lt;=35,30%,40%)),'2. Investicijos'!$N$5:$N$11-('2. Investicijos'!$H$5:$H$11*IF('2. Investicijos'!$G$5:$G$11&lt;=35,30%,40%)),0))*(1-((2030-'2. Investicijos'!$F$5:$F$11)-1)/'2. Investicijos'!$G$5:$G$11),0)*'5. 0% scenarijus'!$C$5)</f>
        <v>#VALUE!</v>
      </c>
      <c r="T104" s="62" t="e">
        <f>'3. Finansinės prielaidos'!G29+S104+G104</f>
        <v>#VALUE!</v>
      </c>
      <c r="U104" s="62" t="e">
        <f t="shared" ref="U104:U135" si="56">N104-R104</f>
        <v>#VALUE!</v>
      </c>
      <c r="V104" s="72" t="e">
        <f t="shared" ref="V104:V135" si="57">IF(OR(T104="",T104&lt;=0),"",U104/T104)</f>
        <v>#VALUE!</v>
      </c>
      <c r="W104" s="72" t="e">
        <f t="shared" ref="W104:W135" si="58">IF(T104&lt;=0,"",IF(P104+J104=0,999999,T104/(P104+J104)))</f>
        <v>#VALUE!</v>
      </c>
      <c r="X104" s="57" t="e">
        <f t="shared" ref="X104:X135" si="59">IF(OR(V104="",W104=""),"",IF(AND(V104&lt;=5.5,W104&gt;=1.2),"ATITINKA","NEATITINKA"))</f>
        <v>#VALUE!</v>
      </c>
      <c r="Y104" s="57" t="e">
        <f t="shared" ref="Y104:Y135" si="60">IF(X104&lt;&gt;"NEATITINKA","",IF(T104&lt;=0,"EBITDA ≤ 0",IF(AND(V104&gt;5.5,W104&lt;1.2),"Abu",IF(V104&gt;5.5,"Net Debt / EBITDA","DSCR"))))</f>
        <v>#VALUE!</v>
      </c>
      <c r="Z104" s="57"/>
      <c r="AA104" s="57"/>
      <c r="AB104" s="57"/>
      <c r="AC104" s="57"/>
      <c r="AD104" s="57"/>
      <c r="AE104" s="57"/>
      <c r="AF104" s="57"/>
      <c r="AG104" s="57"/>
      <c r="AH104" s="57"/>
      <c r="AI104" s="57"/>
      <c r="AJ104" s="57"/>
      <c r="AK104" s="57"/>
      <c r="AL104" s="57"/>
      <c r="AM104" s="57"/>
      <c r="AN104" s="57"/>
      <c r="AO104" s="57"/>
      <c r="AP104" s="57"/>
      <c r="AQ104" s="57"/>
      <c r="AR104" s="57"/>
      <c r="AS104" s="57"/>
    </row>
    <row r="105" spans="1:45">
      <c r="A105" s="57">
        <v>7</v>
      </c>
      <c r="B105" s="57">
        <v>2031</v>
      </c>
      <c r="C105" s="62">
        <f>SUM('4. Metinis CAPEX'!K$9:K$15)</f>
        <v>0</v>
      </c>
      <c r="D105" s="62" cm="1">
        <f t="array" ref="D105">SUMPRODUCT('4. Metinis CAPEX'!K$9:K$15,IFERROR('2. Investicijos'!$N$5:$N$11/'2. Investicijos'!$H$5:$H$11,0))</f>
        <v>0</v>
      </c>
      <c r="E105" s="62" cm="1">
        <f t="array" ref="E105">SUMPRODUCT('4. Metinis CAPEX'!K$9:K$15,IFERROR(('2. Investicijos'!$I$5:$I$11+'2. Investicijos'!$J$5:$J$11+'2. Investicijos'!$K$5:$K$11+'2. Investicijos'!$L$5:$L$11)/'2. Investicijos'!$H$5:$H$11,0))</f>
        <v>0</v>
      </c>
      <c r="F105" s="62" cm="1">
        <f t="array" ref="F105">SUM('2. Investicijos'!$H$5:$H$11*IF('2. Investicijos'!$G$5:$G$11&lt;=35,30%,40%))</f>
        <v>0</v>
      </c>
      <c r="G105" s="62" cm="1">
        <f t="array" ref="G105">IF(AND(2031&gt;=2026,2031&lt;2026+'6. Aprašo scenarijus'!$C$4),SUM('2. Investicijos'!$H$5:$H$11*IF('2. Investicijos'!$G$5:$G$11&lt;=35,30%,40%))/'6. Aprašo scenarijus'!$C$4,0)</f>
        <v>0</v>
      </c>
      <c r="H105" s="62">
        <f t="shared" si="54"/>
        <v>0</v>
      </c>
      <c r="I105" s="62">
        <f>SUM(K$5:K$11)</f>
        <v>0</v>
      </c>
      <c r="J105" s="62" t="e" cm="1">
        <f t="array" ref="J105">K105+L105+MAX(0,-R104)*IFERROR(SUMPRODUCT(IF('2. Investicijos'!$N$5:$N$11&gt;('2. Investicijos'!$H$5:$H$11*IF('2. Investicijos'!$G$5:$G$11&lt;=35,30%,40%)),'2. Investicijos'!$N$5:$N$11-('2. Investicijos'!$H$5:$H$11*IF('2. Investicijos'!$G$5:$G$11&lt;=35,30%,40%)),0),'2. Investicijos'!$O$5:$O$11/100)/SUM(IF('2. Investicijos'!$N$5:$N$11&gt;('2. Investicijos'!$H$5:$H$11*IF('2. Investicijos'!$G$5:$G$11&lt;=35,30%,40%)),'2. Investicijos'!$N$5:$N$11-('2. Investicijos'!$H$5:$H$11*IF('2. Investicijos'!$G$5:$G$11&lt;=35,30%,40%)),0)),0)</f>
        <v>#VALUE!</v>
      </c>
      <c r="K105" s="62">
        <f>SUM(AE$5:AE$11)</f>
        <v>0</v>
      </c>
      <c r="L105" s="62">
        <f>SUM(U$5:U$11)</f>
        <v>0</v>
      </c>
      <c r="M105" s="62">
        <f>SUM(AO$5:AO$11)</f>
        <v>0</v>
      </c>
      <c r="N105" s="62">
        <f>'3. Finansinės prielaidos'!H30+M105</f>
        <v>0</v>
      </c>
      <c r="O105" s="62">
        <f>'3. Finansinės prielaidos'!H31</f>
        <v>0</v>
      </c>
      <c r="P105" s="62">
        <f>'3. Finansinės prielaidos'!H32</f>
        <v>0</v>
      </c>
      <c r="Q105" s="62" t="e">
        <f t="shared" si="55"/>
        <v>#VALUE!</v>
      </c>
      <c r="R105" s="62" t="e">
        <f>R104+('3. Finansinės prielaidos'!H31-'3. Finansinės prielaidos'!G31)+Q105</f>
        <v>#VALUE!</v>
      </c>
      <c r="S105" s="62" t="e" cm="1">
        <f t="array" ref="S105">SUMPRODUCT(--(2031&gt;'2. Investicijos'!$F$5:$F$11),--(2031&lt;='2. Investicijos'!$F$5:$F$11+'2. Investicijos'!$G$5:$G$11),IFERROR(('2. Investicijos'!$M$5:$M$11+IF('2. Investicijos'!$N$5:$N$11&gt;('2. Investicijos'!$H$5:$H$11*IF('2. Investicijos'!$G$5:$G$11&lt;=35,30%,40%)),'2. Investicijos'!$N$5:$N$11-('2. Investicijos'!$H$5:$H$11*IF('2. Investicijos'!$G$5:$G$11&lt;=35,30%,40%)),0)+('2. Investicijos'!$H$5:$H$11*IF('2. Investicijos'!$G$5:$G$11&lt;=35,30%,40%)))/'2. Investicijos'!$G$5:$G$11,0))+SUMPRODUCT(--(2031&gt;'2. Investicijos'!$F$5:$F$11),--(2031&lt;='2. Investicijos'!$F$5:$F$11+'2. Investicijos'!$G$5:$G$11),IFERROR(('2. Investicijos'!$M$5:$M$11+IF('2. Investicijos'!$N$5:$N$11&gt;('2. Investicijos'!$H$5:$H$11*IF('2. Investicijos'!$G$5:$G$11&lt;=35,30%,40%)),'2. Investicijos'!$N$5:$N$11-('2. Investicijos'!$H$5:$H$11*IF('2. Investicijos'!$G$5:$G$11&lt;=35,30%,40%)),0))*(1-((2031-'2. Investicijos'!$F$5:$F$11)-1)/'2. Investicijos'!$G$5:$G$11),0)*'5. 0% scenarijus'!$C$5)</f>
        <v>#VALUE!</v>
      </c>
      <c r="T105" s="62" t="e">
        <f>'3. Finansinės prielaidos'!H29+S105+G105</f>
        <v>#VALUE!</v>
      </c>
      <c r="U105" s="62" t="e">
        <f t="shared" si="56"/>
        <v>#VALUE!</v>
      </c>
      <c r="V105" s="72" t="e">
        <f t="shared" si="57"/>
        <v>#VALUE!</v>
      </c>
      <c r="W105" s="72" t="e">
        <f t="shared" si="58"/>
        <v>#VALUE!</v>
      </c>
      <c r="X105" s="57" t="e">
        <f t="shared" si="59"/>
        <v>#VALUE!</v>
      </c>
      <c r="Y105" s="57" t="e">
        <f t="shared" si="60"/>
        <v>#VALUE!</v>
      </c>
      <c r="Z105" s="57"/>
      <c r="AA105" s="57"/>
      <c r="AB105" s="57"/>
      <c r="AC105" s="57"/>
      <c r="AD105" s="57"/>
      <c r="AE105" s="57"/>
      <c r="AF105" s="57"/>
      <c r="AG105" s="57"/>
      <c r="AH105" s="57"/>
      <c r="AI105" s="57"/>
      <c r="AJ105" s="57"/>
      <c r="AK105" s="57"/>
      <c r="AL105" s="57"/>
      <c r="AM105" s="57"/>
      <c r="AN105" s="57"/>
      <c r="AO105" s="57"/>
      <c r="AP105" s="57"/>
      <c r="AQ105" s="57"/>
      <c r="AR105" s="57"/>
      <c r="AS105" s="57"/>
    </row>
    <row r="106" spans="1:45">
      <c r="A106" s="57">
        <v>7</v>
      </c>
      <c r="B106" s="57">
        <v>2032</v>
      </c>
      <c r="C106" s="62">
        <f>SUM('4. Metinis CAPEX'!L$9:L$15)</f>
        <v>0</v>
      </c>
      <c r="D106" s="62" cm="1">
        <f t="array" ref="D106">SUMPRODUCT('4. Metinis CAPEX'!L$9:L$15,IFERROR('2. Investicijos'!$N$5:$N$11/'2. Investicijos'!$H$5:$H$11,0))</f>
        <v>0</v>
      </c>
      <c r="E106" s="62" cm="1">
        <f t="array" ref="E106">SUMPRODUCT('4. Metinis CAPEX'!L$9:L$15,IFERROR(('2. Investicijos'!$I$5:$I$11+'2. Investicijos'!$J$5:$J$11+'2. Investicijos'!$K$5:$K$11+'2. Investicijos'!$L$5:$L$11)/'2. Investicijos'!$H$5:$H$11,0))</f>
        <v>0</v>
      </c>
      <c r="F106" s="62" cm="1">
        <f t="array" ref="F106">SUM('2. Investicijos'!$H$5:$H$11*IF('2. Investicijos'!$G$5:$G$11&lt;=35,30%,40%))</f>
        <v>0</v>
      </c>
      <c r="G106" s="62" cm="1">
        <f t="array" ref="G106">IF(AND(2032&gt;=2026,2032&lt;2026+'6. Aprašo scenarijus'!$C$4),SUM('2. Investicijos'!$H$5:$H$11*IF('2. Investicijos'!$G$5:$G$11&lt;=35,30%,40%))/'6. Aprašo scenarijus'!$C$4,0)</f>
        <v>0</v>
      </c>
      <c r="H106" s="62">
        <f t="shared" si="54"/>
        <v>0</v>
      </c>
      <c r="I106" s="62">
        <f>SUM(L$5:L$11)</f>
        <v>0</v>
      </c>
      <c r="J106" s="62" t="e" cm="1">
        <f t="array" ref="J106">K106+L106+MAX(0,-R105)*IFERROR(SUMPRODUCT(IF('2. Investicijos'!$N$5:$N$11&gt;('2. Investicijos'!$H$5:$H$11*IF('2. Investicijos'!$G$5:$G$11&lt;=35,30%,40%)),'2. Investicijos'!$N$5:$N$11-('2. Investicijos'!$H$5:$H$11*IF('2. Investicijos'!$G$5:$G$11&lt;=35,30%,40%)),0),'2. Investicijos'!$O$5:$O$11/100)/SUM(IF('2. Investicijos'!$N$5:$N$11&gt;('2. Investicijos'!$H$5:$H$11*IF('2. Investicijos'!$G$5:$G$11&lt;=35,30%,40%)),'2. Investicijos'!$N$5:$N$11-('2. Investicijos'!$H$5:$H$11*IF('2. Investicijos'!$G$5:$G$11&lt;=35,30%,40%)),0)),0)</f>
        <v>#VALUE!</v>
      </c>
      <c r="K106" s="62">
        <f>SUM(AF$5:AF$11)</f>
        <v>0</v>
      </c>
      <c r="L106" s="62">
        <f>SUM(V$5:V$11)</f>
        <v>0</v>
      </c>
      <c r="M106" s="62">
        <f>SUM(AP$5:AP$11)</f>
        <v>0</v>
      </c>
      <c r="N106" s="62">
        <f>'3. Finansinės prielaidos'!I30+M106</f>
        <v>0</v>
      </c>
      <c r="O106" s="62">
        <f>'3. Finansinės prielaidos'!I31</f>
        <v>0</v>
      </c>
      <c r="P106" s="62">
        <f>'3. Finansinės prielaidos'!I32</f>
        <v>0</v>
      </c>
      <c r="Q106" s="62" t="e">
        <f t="shared" si="55"/>
        <v>#VALUE!</v>
      </c>
      <c r="R106" s="62" t="e">
        <f>R105+('3. Finansinės prielaidos'!I31-'3. Finansinės prielaidos'!H31)+Q106</f>
        <v>#VALUE!</v>
      </c>
      <c r="S106" s="62" t="e" cm="1">
        <f t="array" ref="S106">SUMPRODUCT(--(2032&gt;'2. Investicijos'!$F$5:$F$11),--(2032&lt;='2. Investicijos'!$F$5:$F$11+'2. Investicijos'!$G$5:$G$11),IFERROR(('2. Investicijos'!$M$5:$M$11+IF('2. Investicijos'!$N$5:$N$11&gt;('2. Investicijos'!$H$5:$H$11*IF('2. Investicijos'!$G$5:$G$11&lt;=35,30%,40%)),'2. Investicijos'!$N$5:$N$11-('2. Investicijos'!$H$5:$H$11*IF('2. Investicijos'!$G$5:$G$11&lt;=35,30%,40%)),0)+('2. Investicijos'!$H$5:$H$11*IF('2. Investicijos'!$G$5:$G$11&lt;=35,30%,40%)))/'2. Investicijos'!$G$5:$G$11,0))+SUMPRODUCT(--(2032&gt;'2. Investicijos'!$F$5:$F$11),--(2032&lt;='2. Investicijos'!$F$5:$F$11+'2. Investicijos'!$G$5:$G$11),IFERROR(('2. Investicijos'!$M$5:$M$11+IF('2. Investicijos'!$N$5:$N$11&gt;('2. Investicijos'!$H$5:$H$11*IF('2. Investicijos'!$G$5:$G$11&lt;=35,30%,40%)),'2. Investicijos'!$N$5:$N$11-('2. Investicijos'!$H$5:$H$11*IF('2. Investicijos'!$G$5:$G$11&lt;=35,30%,40%)),0))*(1-((2032-'2. Investicijos'!$F$5:$F$11)-1)/'2. Investicijos'!$G$5:$G$11),0)*'5. 0% scenarijus'!$C$5)</f>
        <v>#VALUE!</v>
      </c>
      <c r="T106" s="62" t="e">
        <f>'3. Finansinės prielaidos'!I29+S106+G106</f>
        <v>#VALUE!</v>
      </c>
      <c r="U106" s="62" t="e">
        <f t="shared" si="56"/>
        <v>#VALUE!</v>
      </c>
      <c r="V106" s="72" t="e">
        <f t="shared" si="57"/>
        <v>#VALUE!</v>
      </c>
      <c r="W106" s="72" t="e">
        <f t="shared" si="58"/>
        <v>#VALUE!</v>
      </c>
      <c r="X106" s="57" t="e">
        <f t="shared" si="59"/>
        <v>#VALUE!</v>
      </c>
      <c r="Y106" s="57" t="e">
        <f t="shared" si="60"/>
        <v>#VALUE!</v>
      </c>
      <c r="Z106" s="57"/>
      <c r="AA106" s="57"/>
      <c r="AB106" s="57"/>
      <c r="AC106" s="57"/>
      <c r="AD106" s="57"/>
      <c r="AE106" s="57"/>
      <c r="AF106" s="57"/>
      <c r="AG106" s="57"/>
      <c r="AH106" s="57"/>
      <c r="AI106" s="57"/>
      <c r="AJ106" s="57"/>
      <c r="AK106" s="57"/>
      <c r="AL106" s="57"/>
      <c r="AM106" s="57"/>
      <c r="AN106" s="57"/>
      <c r="AO106" s="57"/>
      <c r="AP106" s="57"/>
      <c r="AQ106" s="57"/>
      <c r="AR106" s="57"/>
      <c r="AS106" s="57"/>
    </row>
    <row r="107" spans="1:45">
      <c r="A107" s="57">
        <v>7</v>
      </c>
      <c r="B107" s="57">
        <v>2033</v>
      </c>
      <c r="C107" s="62">
        <f>SUM('4. Metinis CAPEX'!M$9:M$15)</f>
        <v>0</v>
      </c>
      <c r="D107" s="62" cm="1">
        <f t="array" ref="D107">SUMPRODUCT('4. Metinis CAPEX'!M$9:M$15,IFERROR('2. Investicijos'!$N$5:$N$11/'2. Investicijos'!$H$5:$H$11,0))</f>
        <v>0</v>
      </c>
      <c r="E107" s="62" cm="1">
        <f t="array" ref="E107">SUMPRODUCT('4. Metinis CAPEX'!M$9:M$15,IFERROR(('2. Investicijos'!$I$5:$I$11+'2. Investicijos'!$J$5:$J$11+'2. Investicijos'!$K$5:$K$11+'2. Investicijos'!$L$5:$L$11)/'2. Investicijos'!$H$5:$H$11,0))</f>
        <v>0</v>
      </c>
      <c r="F107" s="62" cm="1">
        <f t="array" ref="F107">SUM('2. Investicijos'!$H$5:$H$11*IF('2. Investicijos'!$G$5:$G$11&lt;=35,30%,40%))</f>
        <v>0</v>
      </c>
      <c r="G107" s="62" cm="1">
        <f t="array" ref="G107">IF(AND(2033&gt;=2026,2033&lt;2026+'6. Aprašo scenarijus'!$C$4),SUM('2. Investicijos'!$H$5:$H$11*IF('2. Investicijos'!$G$5:$G$11&lt;=35,30%,40%))/'6. Aprašo scenarijus'!$C$4,0)</f>
        <v>0</v>
      </c>
      <c r="H107" s="62">
        <f t="shared" si="54"/>
        <v>0</v>
      </c>
      <c r="I107" s="62">
        <f>SUM(M$5:M$11)</f>
        <v>0</v>
      </c>
      <c r="J107" s="62" t="e" cm="1">
        <f t="array" ref="J107">K107+L107+MAX(0,-R106)*IFERROR(SUMPRODUCT(IF('2. Investicijos'!$N$5:$N$11&gt;('2. Investicijos'!$H$5:$H$11*IF('2. Investicijos'!$G$5:$G$11&lt;=35,30%,40%)),'2. Investicijos'!$N$5:$N$11-('2. Investicijos'!$H$5:$H$11*IF('2. Investicijos'!$G$5:$G$11&lt;=35,30%,40%)),0),'2. Investicijos'!$O$5:$O$11/100)/SUM(IF('2. Investicijos'!$N$5:$N$11&gt;('2. Investicijos'!$H$5:$H$11*IF('2. Investicijos'!$G$5:$G$11&lt;=35,30%,40%)),'2. Investicijos'!$N$5:$N$11-('2. Investicijos'!$H$5:$H$11*IF('2. Investicijos'!$G$5:$G$11&lt;=35,30%,40%)),0)),0)</f>
        <v>#VALUE!</v>
      </c>
      <c r="K107" s="62">
        <f>SUM(AG$5:AG$11)</f>
        <v>0</v>
      </c>
      <c r="L107" s="62">
        <f>SUM(W$5:W$11)</f>
        <v>0</v>
      </c>
      <c r="M107" s="62">
        <f>SUM(AQ$5:AQ$11)</f>
        <v>0</v>
      </c>
      <c r="N107" s="62">
        <f>'3. Finansinės prielaidos'!J30+M107</f>
        <v>0</v>
      </c>
      <c r="O107" s="62">
        <f>'3. Finansinės prielaidos'!J31</f>
        <v>0</v>
      </c>
      <c r="P107" s="62">
        <f>'3. Finansinės prielaidos'!J32</f>
        <v>0</v>
      </c>
      <c r="Q107" s="62" t="e">
        <f t="shared" si="55"/>
        <v>#VALUE!</v>
      </c>
      <c r="R107" s="62" t="e">
        <f>R106+('3. Finansinės prielaidos'!J31-'3. Finansinės prielaidos'!I31)+Q107</f>
        <v>#VALUE!</v>
      </c>
      <c r="S107" s="62" t="e" cm="1">
        <f t="array" ref="S107">SUMPRODUCT(--(2033&gt;'2. Investicijos'!$F$5:$F$11),--(2033&lt;='2. Investicijos'!$F$5:$F$11+'2. Investicijos'!$G$5:$G$11),IFERROR(('2. Investicijos'!$M$5:$M$11+IF('2. Investicijos'!$N$5:$N$11&gt;('2. Investicijos'!$H$5:$H$11*IF('2. Investicijos'!$G$5:$G$11&lt;=35,30%,40%)),'2. Investicijos'!$N$5:$N$11-('2. Investicijos'!$H$5:$H$11*IF('2. Investicijos'!$G$5:$G$11&lt;=35,30%,40%)),0)+('2. Investicijos'!$H$5:$H$11*IF('2. Investicijos'!$G$5:$G$11&lt;=35,30%,40%)))/'2. Investicijos'!$G$5:$G$11,0))+SUMPRODUCT(--(2033&gt;'2. Investicijos'!$F$5:$F$11),--(2033&lt;='2. Investicijos'!$F$5:$F$11+'2. Investicijos'!$G$5:$G$11),IFERROR(('2. Investicijos'!$M$5:$M$11+IF('2. Investicijos'!$N$5:$N$11&gt;('2. Investicijos'!$H$5:$H$11*IF('2. Investicijos'!$G$5:$G$11&lt;=35,30%,40%)),'2. Investicijos'!$N$5:$N$11-('2. Investicijos'!$H$5:$H$11*IF('2. Investicijos'!$G$5:$G$11&lt;=35,30%,40%)),0))*(1-((2033-'2. Investicijos'!$F$5:$F$11)-1)/'2. Investicijos'!$G$5:$G$11),0)*'5. 0% scenarijus'!$C$5)</f>
        <v>#VALUE!</v>
      </c>
      <c r="T107" s="62" t="e">
        <f>'3. Finansinės prielaidos'!J29+S107+G107</f>
        <v>#VALUE!</v>
      </c>
      <c r="U107" s="62" t="e">
        <f t="shared" si="56"/>
        <v>#VALUE!</v>
      </c>
      <c r="V107" s="72" t="e">
        <f t="shared" si="57"/>
        <v>#VALUE!</v>
      </c>
      <c r="W107" s="72" t="e">
        <f t="shared" si="58"/>
        <v>#VALUE!</v>
      </c>
      <c r="X107" s="57" t="e">
        <f t="shared" si="59"/>
        <v>#VALUE!</v>
      </c>
      <c r="Y107" s="57" t="e">
        <f t="shared" si="60"/>
        <v>#VALUE!</v>
      </c>
      <c r="Z107" s="57"/>
      <c r="AA107" s="57"/>
      <c r="AB107" s="57"/>
      <c r="AC107" s="57"/>
      <c r="AD107" s="57"/>
      <c r="AE107" s="57"/>
      <c r="AF107" s="57"/>
      <c r="AG107" s="57"/>
      <c r="AH107" s="57"/>
      <c r="AI107" s="57"/>
      <c r="AJ107" s="57"/>
      <c r="AK107" s="57"/>
      <c r="AL107" s="57"/>
      <c r="AM107" s="57"/>
      <c r="AN107" s="57"/>
      <c r="AO107" s="57"/>
      <c r="AP107" s="57"/>
      <c r="AQ107" s="57"/>
      <c r="AR107" s="57"/>
      <c r="AS107" s="57"/>
    </row>
    <row r="108" spans="1:45">
      <c r="A108" s="57">
        <v>7</v>
      </c>
      <c r="B108" s="57">
        <v>2034</v>
      </c>
      <c r="C108" s="62">
        <f>SUM('4. Metinis CAPEX'!N$9:N$15)</f>
        <v>0</v>
      </c>
      <c r="D108" s="62" cm="1">
        <f t="array" ref="D108">SUMPRODUCT('4. Metinis CAPEX'!N$9:N$15,IFERROR('2. Investicijos'!$N$5:$N$11/'2. Investicijos'!$H$5:$H$11,0))</f>
        <v>0</v>
      </c>
      <c r="E108" s="62" cm="1">
        <f t="array" ref="E108">SUMPRODUCT('4. Metinis CAPEX'!N$9:N$15,IFERROR(('2. Investicijos'!$I$5:$I$11+'2. Investicijos'!$J$5:$J$11+'2. Investicijos'!$K$5:$K$11+'2. Investicijos'!$L$5:$L$11)/'2. Investicijos'!$H$5:$H$11,0))</f>
        <v>0</v>
      </c>
      <c r="F108" s="62" cm="1">
        <f t="array" ref="F108">SUM('2. Investicijos'!$H$5:$H$11*IF('2. Investicijos'!$G$5:$G$11&lt;=35,30%,40%))</f>
        <v>0</v>
      </c>
      <c r="G108" s="62" cm="1">
        <f t="array" ref="G108">IF(AND(2034&gt;=2026,2034&lt;2026+'6. Aprašo scenarijus'!$C$4),SUM('2. Investicijos'!$H$5:$H$11*IF('2. Investicijos'!$G$5:$G$11&lt;=35,30%,40%))/'6. Aprašo scenarijus'!$C$4,0)</f>
        <v>0</v>
      </c>
      <c r="H108" s="62">
        <f t="shared" si="54"/>
        <v>0</v>
      </c>
      <c r="I108" s="62">
        <f>SUM(N$5:N$11)</f>
        <v>0</v>
      </c>
      <c r="J108" s="62" t="e" cm="1">
        <f t="array" ref="J108">K108+L108+MAX(0,-R107)*IFERROR(SUMPRODUCT(IF('2. Investicijos'!$N$5:$N$11&gt;('2. Investicijos'!$H$5:$H$11*IF('2. Investicijos'!$G$5:$G$11&lt;=35,30%,40%)),'2. Investicijos'!$N$5:$N$11-('2. Investicijos'!$H$5:$H$11*IF('2. Investicijos'!$G$5:$G$11&lt;=35,30%,40%)),0),'2. Investicijos'!$O$5:$O$11/100)/SUM(IF('2. Investicijos'!$N$5:$N$11&gt;('2. Investicijos'!$H$5:$H$11*IF('2. Investicijos'!$G$5:$G$11&lt;=35,30%,40%)),'2. Investicijos'!$N$5:$N$11-('2. Investicijos'!$H$5:$H$11*IF('2. Investicijos'!$G$5:$G$11&lt;=35,30%,40%)),0)),0)</f>
        <v>#VALUE!</v>
      </c>
      <c r="K108" s="62">
        <f>SUM(AH$5:AH$11)</f>
        <v>0</v>
      </c>
      <c r="L108" s="62">
        <f>SUM(X$5:X$11)</f>
        <v>0</v>
      </c>
      <c r="M108" s="62">
        <f>SUM(AR$5:AR$11)</f>
        <v>0</v>
      </c>
      <c r="N108" s="62">
        <f>'3. Finansinės prielaidos'!K30+M108</f>
        <v>0</v>
      </c>
      <c r="O108" s="62">
        <f>'3. Finansinės prielaidos'!K31</f>
        <v>0</v>
      </c>
      <c r="P108" s="62">
        <f>'3. Finansinės prielaidos'!K32</f>
        <v>0</v>
      </c>
      <c r="Q108" s="62" t="e">
        <f t="shared" si="55"/>
        <v>#VALUE!</v>
      </c>
      <c r="R108" s="62" t="e">
        <f>R107+('3. Finansinės prielaidos'!K31-'3. Finansinės prielaidos'!J31)+Q108</f>
        <v>#VALUE!</v>
      </c>
      <c r="S108" s="62" t="e" cm="1">
        <f t="array" ref="S108">SUMPRODUCT(--(2034&gt;'2. Investicijos'!$F$5:$F$11),--(2034&lt;='2. Investicijos'!$F$5:$F$11+'2. Investicijos'!$G$5:$G$11),IFERROR(('2. Investicijos'!$M$5:$M$11+IF('2. Investicijos'!$N$5:$N$11&gt;('2. Investicijos'!$H$5:$H$11*IF('2. Investicijos'!$G$5:$G$11&lt;=35,30%,40%)),'2. Investicijos'!$N$5:$N$11-('2. Investicijos'!$H$5:$H$11*IF('2. Investicijos'!$G$5:$G$11&lt;=35,30%,40%)),0)+('2. Investicijos'!$H$5:$H$11*IF('2. Investicijos'!$G$5:$G$11&lt;=35,30%,40%)))/'2. Investicijos'!$G$5:$G$11,0))+SUMPRODUCT(--(2034&gt;'2. Investicijos'!$F$5:$F$11),--(2034&lt;='2. Investicijos'!$F$5:$F$11+'2. Investicijos'!$G$5:$G$11),IFERROR(('2. Investicijos'!$M$5:$M$11+IF('2. Investicijos'!$N$5:$N$11&gt;('2. Investicijos'!$H$5:$H$11*IF('2. Investicijos'!$G$5:$G$11&lt;=35,30%,40%)),'2. Investicijos'!$N$5:$N$11-('2. Investicijos'!$H$5:$H$11*IF('2. Investicijos'!$G$5:$G$11&lt;=35,30%,40%)),0))*(1-((2034-'2. Investicijos'!$F$5:$F$11)-1)/'2. Investicijos'!$G$5:$G$11),0)*'5. 0% scenarijus'!$C$5)</f>
        <v>#VALUE!</v>
      </c>
      <c r="T108" s="62" t="e">
        <f>'3. Finansinės prielaidos'!K29+S108+G108</f>
        <v>#VALUE!</v>
      </c>
      <c r="U108" s="62" t="e">
        <f t="shared" si="56"/>
        <v>#VALUE!</v>
      </c>
      <c r="V108" s="72" t="e">
        <f t="shared" si="57"/>
        <v>#VALUE!</v>
      </c>
      <c r="W108" s="72" t="e">
        <f t="shared" si="58"/>
        <v>#VALUE!</v>
      </c>
      <c r="X108" s="57" t="e">
        <f t="shared" si="59"/>
        <v>#VALUE!</v>
      </c>
      <c r="Y108" s="57" t="e">
        <f t="shared" si="60"/>
        <v>#VALUE!</v>
      </c>
      <c r="Z108" s="57"/>
      <c r="AA108" s="57"/>
      <c r="AB108" s="57"/>
      <c r="AC108" s="57"/>
      <c r="AD108" s="57"/>
      <c r="AE108" s="57"/>
      <c r="AF108" s="57"/>
      <c r="AG108" s="57"/>
      <c r="AH108" s="57"/>
      <c r="AI108" s="57"/>
      <c r="AJ108" s="57"/>
      <c r="AK108" s="57"/>
      <c r="AL108" s="57"/>
      <c r="AM108" s="57"/>
      <c r="AN108" s="57"/>
      <c r="AO108" s="57"/>
      <c r="AP108" s="57"/>
      <c r="AQ108" s="57"/>
      <c r="AR108" s="57"/>
      <c r="AS108" s="57"/>
    </row>
    <row r="109" spans="1:45">
      <c r="A109" s="57">
        <v>7</v>
      </c>
      <c r="B109" s="57">
        <v>2035</v>
      </c>
      <c r="C109" s="62">
        <f>SUM('4. Metinis CAPEX'!O$9:O$15)</f>
        <v>0</v>
      </c>
      <c r="D109" s="62" cm="1">
        <f t="array" ref="D109">SUMPRODUCT('4. Metinis CAPEX'!O$9:O$15,IFERROR('2. Investicijos'!$N$5:$N$11/'2. Investicijos'!$H$5:$H$11,0))</f>
        <v>0</v>
      </c>
      <c r="E109" s="62" cm="1">
        <f t="array" ref="E109">SUMPRODUCT('4. Metinis CAPEX'!O$9:O$15,IFERROR(('2. Investicijos'!$I$5:$I$11+'2. Investicijos'!$J$5:$J$11+'2. Investicijos'!$K$5:$K$11+'2. Investicijos'!$L$5:$L$11)/'2. Investicijos'!$H$5:$H$11,0))</f>
        <v>0</v>
      </c>
      <c r="F109" s="62" cm="1">
        <f t="array" ref="F109">SUM('2. Investicijos'!$H$5:$H$11*IF('2. Investicijos'!$G$5:$G$11&lt;=35,30%,40%))</f>
        <v>0</v>
      </c>
      <c r="G109" s="62" cm="1">
        <f t="array" ref="G109">IF(AND(2035&gt;=2026,2035&lt;2026+'6. Aprašo scenarijus'!$C$4),SUM('2. Investicijos'!$H$5:$H$11*IF('2. Investicijos'!$G$5:$G$11&lt;=35,30%,40%))/'6. Aprašo scenarijus'!$C$4,0)</f>
        <v>0</v>
      </c>
      <c r="H109" s="62">
        <f t="shared" si="54"/>
        <v>0</v>
      </c>
      <c r="I109" s="62">
        <f>SUM(O$5:O$11)</f>
        <v>0</v>
      </c>
      <c r="J109" s="62" t="e" cm="1">
        <f t="array" ref="J109">K109+L109+MAX(0,-R108)*IFERROR(SUMPRODUCT(IF('2. Investicijos'!$N$5:$N$11&gt;('2. Investicijos'!$H$5:$H$11*IF('2. Investicijos'!$G$5:$G$11&lt;=35,30%,40%)),'2. Investicijos'!$N$5:$N$11-('2. Investicijos'!$H$5:$H$11*IF('2. Investicijos'!$G$5:$G$11&lt;=35,30%,40%)),0),'2. Investicijos'!$O$5:$O$11/100)/SUM(IF('2. Investicijos'!$N$5:$N$11&gt;('2. Investicijos'!$H$5:$H$11*IF('2. Investicijos'!$G$5:$G$11&lt;=35,30%,40%)),'2. Investicijos'!$N$5:$N$11-('2. Investicijos'!$H$5:$H$11*IF('2. Investicijos'!$G$5:$G$11&lt;=35,30%,40%)),0)),0)</f>
        <v>#VALUE!</v>
      </c>
      <c r="K109" s="62">
        <f>SUM(AI$5:AI$11)</f>
        <v>0</v>
      </c>
      <c r="L109" s="62">
        <f>SUM(Y$5:Y$11)</f>
        <v>0</v>
      </c>
      <c r="M109" s="62">
        <f>SUM(AS$5:AS$11)</f>
        <v>0</v>
      </c>
      <c r="N109" s="62">
        <f>'3. Finansinės prielaidos'!L30+M109</f>
        <v>0</v>
      </c>
      <c r="O109" s="62">
        <f>'3. Finansinės prielaidos'!L31</f>
        <v>0</v>
      </c>
      <c r="P109" s="62">
        <f>'3. Finansinės prielaidos'!L32</f>
        <v>0</v>
      </c>
      <c r="Q109" s="62" t="e">
        <f t="shared" si="55"/>
        <v>#VALUE!</v>
      </c>
      <c r="R109" s="62" t="e">
        <f>R108+('3. Finansinės prielaidos'!L31-'3. Finansinės prielaidos'!K31)+Q109</f>
        <v>#VALUE!</v>
      </c>
      <c r="S109" s="62" t="e" cm="1">
        <f t="array" ref="S109">SUMPRODUCT(--(2035&gt;'2. Investicijos'!$F$5:$F$11),--(2035&lt;='2. Investicijos'!$F$5:$F$11+'2. Investicijos'!$G$5:$G$11),IFERROR(('2. Investicijos'!$M$5:$M$11+IF('2. Investicijos'!$N$5:$N$11&gt;('2. Investicijos'!$H$5:$H$11*IF('2. Investicijos'!$G$5:$G$11&lt;=35,30%,40%)),'2. Investicijos'!$N$5:$N$11-('2. Investicijos'!$H$5:$H$11*IF('2. Investicijos'!$G$5:$G$11&lt;=35,30%,40%)),0)+('2. Investicijos'!$H$5:$H$11*IF('2. Investicijos'!$G$5:$G$11&lt;=35,30%,40%)))/'2. Investicijos'!$G$5:$G$11,0))+SUMPRODUCT(--(2035&gt;'2. Investicijos'!$F$5:$F$11),--(2035&lt;='2. Investicijos'!$F$5:$F$11+'2. Investicijos'!$G$5:$G$11),IFERROR(('2. Investicijos'!$M$5:$M$11+IF('2. Investicijos'!$N$5:$N$11&gt;('2. Investicijos'!$H$5:$H$11*IF('2. Investicijos'!$G$5:$G$11&lt;=35,30%,40%)),'2. Investicijos'!$N$5:$N$11-('2. Investicijos'!$H$5:$H$11*IF('2. Investicijos'!$G$5:$G$11&lt;=35,30%,40%)),0))*(1-((2035-'2. Investicijos'!$F$5:$F$11)-1)/'2. Investicijos'!$G$5:$G$11),0)*'5. 0% scenarijus'!$C$5)</f>
        <v>#VALUE!</v>
      </c>
      <c r="T109" s="62" t="e">
        <f>'3. Finansinės prielaidos'!L29+S109+G109</f>
        <v>#VALUE!</v>
      </c>
      <c r="U109" s="62" t="e">
        <f t="shared" si="56"/>
        <v>#VALUE!</v>
      </c>
      <c r="V109" s="72" t="e">
        <f t="shared" si="57"/>
        <v>#VALUE!</v>
      </c>
      <c r="W109" s="72" t="e">
        <f t="shared" si="58"/>
        <v>#VALUE!</v>
      </c>
      <c r="X109" s="57" t="e">
        <f t="shared" si="59"/>
        <v>#VALUE!</v>
      </c>
      <c r="Y109" s="57" t="e">
        <f t="shared" si="60"/>
        <v>#VALUE!</v>
      </c>
      <c r="Z109" s="57"/>
      <c r="AA109" s="57"/>
      <c r="AB109" s="57"/>
      <c r="AC109" s="57"/>
      <c r="AD109" s="57"/>
      <c r="AE109" s="57"/>
      <c r="AF109" s="57"/>
      <c r="AG109" s="57"/>
      <c r="AH109" s="57"/>
      <c r="AI109" s="57"/>
      <c r="AJ109" s="57"/>
      <c r="AK109" s="57"/>
      <c r="AL109" s="57"/>
      <c r="AM109" s="57"/>
      <c r="AN109" s="57"/>
      <c r="AO109" s="57"/>
      <c r="AP109" s="57"/>
      <c r="AQ109" s="57"/>
      <c r="AR109" s="57"/>
      <c r="AS109" s="57"/>
    </row>
    <row r="110" spans="1:45">
      <c r="A110" s="57">
        <v>8</v>
      </c>
      <c r="B110" s="57">
        <v>2026</v>
      </c>
      <c r="C110" s="62">
        <f>SUM('4. Metinis CAPEX'!F$9:F$16)</f>
        <v>0</v>
      </c>
      <c r="D110" s="62" cm="1">
        <f t="array" ref="D110">SUMPRODUCT('4. Metinis CAPEX'!F$9:F$16,IFERROR('2. Investicijos'!$N$5:$N$12/'2. Investicijos'!$H$5:$H$12,0))</f>
        <v>0</v>
      </c>
      <c r="E110" s="62" cm="1">
        <f t="array" ref="E110">SUMPRODUCT('4. Metinis CAPEX'!F$9:F$16,IFERROR(('2. Investicijos'!$I$5:$I$12+'2. Investicijos'!$J$5:$J$12+'2. Investicijos'!$K$5:$K$12+'2. Investicijos'!$L$5:$L$12)/'2. Investicijos'!$H$5:$H$12,0))</f>
        <v>0</v>
      </c>
      <c r="F110" s="62" cm="1">
        <f t="array" ref="F110">SUM('2. Investicijos'!$H$5:$H$12*IF('2. Investicijos'!$G$5:$G$12&lt;=35,30%,40%))</f>
        <v>0</v>
      </c>
      <c r="G110" s="62" cm="1">
        <f t="array" ref="G110">IF(AND(2026&gt;=2026,2026&lt;2026+'6. Aprašo scenarijus'!$C$4),SUM('2. Investicijos'!$H$5:$H$12*IF('2. Investicijos'!$G$5:$G$12&lt;=35,30%,40%))/'6. Aprašo scenarijus'!$C$4,0)</f>
        <v>0</v>
      </c>
      <c r="H110" s="62">
        <f t="shared" si="54"/>
        <v>0</v>
      </c>
      <c r="I110" s="62">
        <f>SUM(F$5:F$12)</f>
        <v>0</v>
      </c>
      <c r="J110" s="62">
        <f>0</f>
        <v>0</v>
      </c>
      <c r="K110" s="62">
        <f>SUM(Z$5:Z$12)</f>
        <v>0</v>
      </c>
      <c r="L110" s="62">
        <f>SUM(P$5:P$12)</f>
        <v>0</v>
      </c>
      <c r="M110" s="62">
        <f>SUM(AJ$5:AJ$12)</f>
        <v>0</v>
      </c>
      <c r="N110" s="62">
        <f>'3. Finansinės prielaidos'!C30+M110</f>
        <v>0</v>
      </c>
      <c r="O110" s="62">
        <f>'3. Finansinės prielaidos'!C31</f>
        <v>0</v>
      </c>
      <c r="P110" s="62">
        <f>'3. Finansinės prielaidos'!C32</f>
        <v>0</v>
      </c>
      <c r="Q110" s="62" t="e">
        <f t="shared" si="55"/>
        <v>#VALUE!</v>
      </c>
      <c r="R110" s="62" t="e">
        <f>O110+Q110</f>
        <v>#VALUE!</v>
      </c>
      <c r="S110" s="62" t="e" cm="1">
        <f t="array" ref="S110">SUMPRODUCT(--(2026&gt;'2. Investicijos'!$F$5:$F$12),--(2026&lt;='2. Investicijos'!$F$5:$F$12+'2. Investicijos'!$G$5:$G$12),IFERROR(('2. Investicijos'!$M$5:$M$12+IF('2. Investicijos'!$N$5:$N$12&gt;('2. Investicijos'!$H$5:$H$12*IF('2. Investicijos'!$G$5:$G$12&lt;=35,30%,40%)),'2. Investicijos'!$N$5:$N$12-('2. Investicijos'!$H$5:$H$12*IF('2. Investicijos'!$G$5:$G$12&lt;=35,30%,40%)),0)+('2. Investicijos'!$H$5:$H$12*IF('2. Investicijos'!$G$5:$G$12&lt;=35,30%,40%)))/'2. Investicijos'!$G$5:$G$12,0))+SUMPRODUCT(--(2026&gt;'2. Investicijos'!$F$5:$F$12),--(2026&lt;='2. Investicijos'!$F$5:$F$12+'2. Investicijos'!$G$5:$G$12),IFERROR(('2. Investicijos'!$M$5:$M$12+IF('2. Investicijos'!$N$5:$N$12&gt;('2. Investicijos'!$H$5:$H$12*IF('2. Investicijos'!$G$5:$G$12&lt;=35,30%,40%)),'2. Investicijos'!$N$5:$N$12-('2. Investicijos'!$H$5:$H$12*IF('2. Investicijos'!$G$5:$G$12&lt;=35,30%,40%)),0))*(1-((2026-'2. Investicijos'!$F$5:$F$12)-1)/'2. Investicijos'!$G$5:$G$12),0)*'5. 0% scenarijus'!$C$5)</f>
        <v>#VALUE!</v>
      </c>
      <c r="T110" s="62" t="e">
        <f>'3. Finansinės prielaidos'!C29+S110+G110</f>
        <v>#VALUE!</v>
      </c>
      <c r="U110" s="62" t="e">
        <f t="shared" si="56"/>
        <v>#VALUE!</v>
      </c>
      <c r="V110" s="72" t="e">
        <f t="shared" si="57"/>
        <v>#VALUE!</v>
      </c>
      <c r="W110" s="72" t="e">
        <f t="shared" si="58"/>
        <v>#VALUE!</v>
      </c>
      <c r="X110" s="57" t="e">
        <f t="shared" si="59"/>
        <v>#VALUE!</v>
      </c>
      <c r="Y110" s="57" t="e">
        <f t="shared" si="60"/>
        <v>#VALUE!</v>
      </c>
      <c r="Z110" s="57"/>
      <c r="AA110" s="57"/>
      <c r="AB110" s="57"/>
      <c r="AC110" s="57"/>
      <c r="AD110" s="57"/>
      <c r="AE110" s="57"/>
      <c r="AF110" s="57"/>
      <c r="AG110" s="57"/>
      <c r="AH110" s="57"/>
      <c r="AI110" s="57"/>
      <c r="AJ110" s="57"/>
      <c r="AK110" s="57"/>
      <c r="AL110" s="57"/>
      <c r="AM110" s="57"/>
      <c r="AN110" s="57"/>
      <c r="AO110" s="57"/>
      <c r="AP110" s="57"/>
      <c r="AQ110" s="57"/>
      <c r="AR110" s="57"/>
      <c r="AS110" s="57"/>
    </row>
    <row r="111" spans="1:45">
      <c r="A111" s="57">
        <v>8</v>
      </c>
      <c r="B111" s="57">
        <v>2027</v>
      </c>
      <c r="C111" s="62">
        <f>SUM('4. Metinis CAPEX'!G$9:G$16)</f>
        <v>0</v>
      </c>
      <c r="D111" s="62" cm="1">
        <f t="array" ref="D111">SUMPRODUCT('4. Metinis CAPEX'!G$9:G$16,IFERROR('2. Investicijos'!$N$5:$N$12/'2. Investicijos'!$H$5:$H$12,0))</f>
        <v>0</v>
      </c>
      <c r="E111" s="62" cm="1">
        <f t="array" ref="E111">SUMPRODUCT('4. Metinis CAPEX'!G$9:G$16,IFERROR(('2. Investicijos'!$I$5:$I$12+'2. Investicijos'!$J$5:$J$12+'2. Investicijos'!$K$5:$K$12+'2. Investicijos'!$L$5:$L$12)/'2. Investicijos'!$H$5:$H$12,0))</f>
        <v>0</v>
      </c>
      <c r="F111" s="62" cm="1">
        <f t="array" ref="F111">SUM('2. Investicijos'!$H$5:$H$12*IF('2. Investicijos'!$G$5:$G$12&lt;=35,30%,40%))</f>
        <v>0</v>
      </c>
      <c r="G111" s="62" cm="1">
        <f t="array" ref="G111">IF(AND(2027&gt;=2026,2027&lt;2026+'6. Aprašo scenarijus'!$C$4),SUM('2. Investicijos'!$H$5:$H$12*IF('2. Investicijos'!$G$5:$G$12&lt;=35,30%,40%))/'6. Aprašo scenarijus'!$C$4,0)</f>
        <v>0</v>
      </c>
      <c r="H111" s="62">
        <f t="shared" si="54"/>
        <v>0</v>
      </c>
      <c r="I111" s="62">
        <f>SUM(G$5:G$12)</f>
        <v>0</v>
      </c>
      <c r="J111" s="62" t="e" cm="1">
        <f t="array" ref="J111">K111+L111+MAX(0,-R110)*IFERROR(SUMPRODUCT(IF('2. Investicijos'!$N$5:$N$12&gt;('2. Investicijos'!$H$5:$H$12*IF('2. Investicijos'!$G$5:$G$12&lt;=35,30%,40%)),'2. Investicijos'!$N$5:$N$12-('2. Investicijos'!$H$5:$H$12*IF('2. Investicijos'!$G$5:$G$12&lt;=35,30%,40%)),0),'2. Investicijos'!$O$5:$O$12/100)/SUM(IF('2. Investicijos'!$N$5:$N$12&gt;('2. Investicijos'!$H$5:$H$12*IF('2. Investicijos'!$G$5:$G$12&lt;=35,30%,40%)),'2. Investicijos'!$N$5:$N$12-('2. Investicijos'!$H$5:$H$12*IF('2. Investicijos'!$G$5:$G$12&lt;=35,30%,40%)),0)),0)</f>
        <v>#VALUE!</v>
      </c>
      <c r="K111" s="62">
        <f>SUM(AA$5:AA$12)</f>
        <v>0</v>
      </c>
      <c r="L111" s="62">
        <f>SUM(Q$5:Q$12)</f>
        <v>0</v>
      </c>
      <c r="M111" s="62">
        <f>SUM(AK$5:AK$12)</f>
        <v>0</v>
      </c>
      <c r="N111" s="62">
        <f>'3. Finansinės prielaidos'!D30+M111</f>
        <v>0</v>
      </c>
      <c r="O111" s="62">
        <f>'3. Finansinės prielaidos'!D31</f>
        <v>0</v>
      </c>
      <c r="P111" s="62">
        <f>'3. Finansinės prielaidos'!D32</f>
        <v>0</v>
      </c>
      <c r="Q111" s="62" t="e">
        <f t="shared" si="55"/>
        <v>#VALUE!</v>
      </c>
      <c r="R111" s="62" t="e">
        <f>R110+('3. Finansinės prielaidos'!D31-'3. Finansinės prielaidos'!C31)+Q111</f>
        <v>#VALUE!</v>
      </c>
      <c r="S111" s="62" t="e" cm="1">
        <f t="array" ref="S111">SUMPRODUCT(--(2027&gt;'2. Investicijos'!$F$5:$F$12),--(2027&lt;='2. Investicijos'!$F$5:$F$12+'2. Investicijos'!$G$5:$G$12),IFERROR(('2. Investicijos'!$M$5:$M$12+IF('2. Investicijos'!$N$5:$N$12&gt;('2. Investicijos'!$H$5:$H$12*IF('2. Investicijos'!$G$5:$G$12&lt;=35,30%,40%)),'2. Investicijos'!$N$5:$N$12-('2. Investicijos'!$H$5:$H$12*IF('2. Investicijos'!$G$5:$G$12&lt;=35,30%,40%)),0)+('2. Investicijos'!$H$5:$H$12*IF('2. Investicijos'!$G$5:$G$12&lt;=35,30%,40%)))/'2. Investicijos'!$G$5:$G$12,0))+SUMPRODUCT(--(2027&gt;'2. Investicijos'!$F$5:$F$12),--(2027&lt;='2. Investicijos'!$F$5:$F$12+'2. Investicijos'!$G$5:$G$12),IFERROR(('2. Investicijos'!$M$5:$M$12+IF('2. Investicijos'!$N$5:$N$12&gt;('2. Investicijos'!$H$5:$H$12*IF('2. Investicijos'!$G$5:$G$12&lt;=35,30%,40%)),'2. Investicijos'!$N$5:$N$12-('2. Investicijos'!$H$5:$H$12*IF('2. Investicijos'!$G$5:$G$12&lt;=35,30%,40%)),0))*(1-((2027-'2. Investicijos'!$F$5:$F$12)-1)/'2. Investicijos'!$G$5:$G$12),0)*'5. 0% scenarijus'!$C$5)</f>
        <v>#VALUE!</v>
      </c>
      <c r="T111" s="62" t="e">
        <f>'3. Finansinės prielaidos'!D29+S111+G111</f>
        <v>#VALUE!</v>
      </c>
      <c r="U111" s="62" t="e">
        <f t="shared" si="56"/>
        <v>#VALUE!</v>
      </c>
      <c r="V111" s="72" t="e">
        <f t="shared" si="57"/>
        <v>#VALUE!</v>
      </c>
      <c r="W111" s="72" t="e">
        <f t="shared" si="58"/>
        <v>#VALUE!</v>
      </c>
      <c r="X111" s="57" t="e">
        <f t="shared" si="59"/>
        <v>#VALUE!</v>
      </c>
      <c r="Y111" s="57" t="e">
        <f t="shared" si="60"/>
        <v>#VALUE!</v>
      </c>
      <c r="Z111" s="57"/>
      <c r="AA111" s="57"/>
      <c r="AB111" s="57"/>
      <c r="AC111" s="57"/>
      <c r="AD111" s="57"/>
      <c r="AE111" s="57"/>
      <c r="AF111" s="57"/>
      <c r="AG111" s="57"/>
      <c r="AH111" s="57"/>
      <c r="AI111" s="57"/>
      <c r="AJ111" s="57"/>
      <c r="AK111" s="57"/>
      <c r="AL111" s="57"/>
      <c r="AM111" s="57"/>
      <c r="AN111" s="57"/>
      <c r="AO111" s="57"/>
      <c r="AP111" s="57"/>
      <c r="AQ111" s="57"/>
      <c r="AR111" s="57"/>
      <c r="AS111" s="57"/>
    </row>
    <row r="112" spans="1:45">
      <c r="A112" s="57">
        <v>8</v>
      </c>
      <c r="B112" s="57">
        <v>2028</v>
      </c>
      <c r="C112" s="62">
        <f>SUM('4. Metinis CAPEX'!H$9:H$16)</f>
        <v>0</v>
      </c>
      <c r="D112" s="62" cm="1">
        <f t="array" ref="D112">SUMPRODUCT('4. Metinis CAPEX'!H$9:H$16,IFERROR('2. Investicijos'!$N$5:$N$12/'2. Investicijos'!$H$5:$H$12,0))</f>
        <v>0</v>
      </c>
      <c r="E112" s="62" cm="1">
        <f t="array" ref="E112">SUMPRODUCT('4. Metinis CAPEX'!H$9:H$16,IFERROR(('2. Investicijos'!$I$5:$I$12+'2. Investicijos'!$J$5:$J$12+'2. Investicijos'!$K$5:$K$12+'2. Investicijos'!$L$5:$L$12)/'2. Investicijos'!$H$5:$H$12,0))</f>
        <v>0</v>
      </c>
      <c r="F112" s="62" cm="1">
        <f t="array" ref="F112">SUM('2. Investicijos'!$H$5:$H$12*IF('2. Investicijos'!$G$5:$G$12&lt;=35,30%,40%))</f>
        <v>0</v>
      </c>
      <c r="G112" s="62" cm="1">
        <f t="array" ref="G112">IF(AND(2028&gt;=2026,2028&lt;2026+'6. Aprašo scenarijus'!$C$4),SUM('2. Investicijos'!$H$5:$H$12*IF('2. Investicijos'!$G$5:$G$12&lt;=35,30%,40%))/'6. Aprašo scenarijus'!$C$4,0)</f>
        <v>0</v>
      </c>
      <c r="H112" s="62">
        <f t="shared" si="54"/>
        <v>0</v>
      </c>
      <c r="I112" s="62">
        <f>SUM(H$5:H$12)</f>
        <v>0</v>
      </c>
      <c r="J112" s="62" t="e" cm="1">
        <f t="array" ref="J112">K112+L112+MAX(0,-R111)*IFERROR(SUMPRODUCT(IF('2. Investicijos'!$N$5:$N$12&gt;('2. Investicijos'!$H$5:$H$12*IF('2. Investicijos'!$G$5:$G$12&lt;=35,30%,40%)),'2. Investicijos'!$N$5:$N$12-('2. Investicijos'!$H$5:$H$12*IF('2. Investicijos'!$G$5:$G$12&lt;=35,30%,40%)),0),'2. Investicijos'!$O$5:$O$12/100)/SUM(IF('2. Investicijos'!$N$5:$N$12&gt;('2. Investicijos'!$H$5:$H$12*IF('2. Investicijos'!$G$5:$G$12&lt;=35,30%,40%)),'2. Investicijos'!$N$5:$N$12-('2. Investicijos'!$H$5:$H$12*IF('2. Investicijos'!$G$5:$G$12&lt;=35,30%,40%)),0)),0)</f>
        <v>#VALUE!</v>
      </c>
      <c r="K112" s="62">
        <f>SUM(AB$5:AB$12)</f>
        <v>0</v>
      </c>
      <c r="L112" s="62">
        <f>SUM(R$5:R$12)</f>
        <v>0</v>
      </c>
      <c r="M112" s="62">
        <f>SUM(AL$5:AL$12)</f>
        <v>0</v>
      </c>
      <c r="N112" s="62">
        <f>'3. Finansinės prielaidos'!E30+M112</f>
        <v>0</v>
      </c>
      <c r="O112" s="62">
        <f>'3. Finansinės prielaidos'!E31</f>
        <v>0</v>
      </c>
      <c r="P112" s="62">
        <f>'3. Finansinės prielaidos'!E32</f>
        <v>0</v>
      </c>
      <c r="Q112" s="62" t="e">
        <f t="shared" si="55"/>
        <v>#VALUE!</v>
      </c>
      <c r="R112" s="62" t="e">
        <f>R111+('3. Finansinės prielaidos'!E31-'3. Finansinės prielaidos'!D31)+Q112</f>
        <v>#VALUE!</v>
      </c>
      <c r="S112" s="62" t="e" cm="1">
        <f t="array" ref="S112">SUMPRODUCT(--(2028&gt;'2. Investicijos'!$F$5:$F$12),--(2028&lt;='2. Investicijos'!$F$5:$F$12+'2. Investicijos'!$G$5:$G$12),IFERROR(('2. Investicijos'!$M$5:$M$12+IF('2. Investicijos'!$N$5:$N$12&gt;('2. Investicijos'!$H$5:$H$12*IF('2. Investicijos'!$G$5:$G$12&lt;=35,30%,40%)),'2. Investicijos'!$N$5:$N$12-('2. Investicijos'!$H$5:$H$12*IF('2. Investicijos'!$G$5:$G$12&lt;=35,30%,40%)),0)+('2. Investicijos'!$H$5:$H$12*IF('2. Investicijos'!$G$5:$G$12&lt;=35,30%,40%)))/'2. Investicijos'!$G$5:$G$12,0))+SUMPRODUCT(--(2028&gt;'2. Investicijos'!$F$5:$F$12),--(2028&lt;='2. Investicijos'!$F$5:$F$12+'2. Investicijos'!$G$5:$G$12),IFERROR(('2. Investicijos'!$M$5:$M$12+IF('2. Investicijos'!$N$5:$N$12&gt;('2. Investicijos'!$H$5:$H$12*IF('2. Investicijos'!$G$5:$G$12&lt;=35,30%,40%)),'2. Investicijos'!$N$5:$N$12-('2. Investicijos'!$H$5:$H$12*IF('2. Investicijos'!$G$5:$G$12&lt;=35,30%,40%)),0))*(1-((2028-'2. Investicijos'!$F$5:$F$12)-1)/'2. Investicijos'!$G$5:$G$12),0)*'5. 0% scenarijus'!$C$5)</f>
        <v>#VALUE!</v>
      </c>
      <c r="T112" s="62" t="e">
        <f>'3. Finansinės prielaidos'!E29+S112+G112</f>
        <v>#VALUE!</v>
      </c>
      <c r="U112" s="62" t="e">
        <f t="shared" si="56"/>
        <v>#VALUE!</v>
      </c>
      <c r="V112" s="72" t="e">
        <f t="shared" si="57"/>
        <v>#VALUE!</v>
      </c>
      <c r="W112" s="72" t="e">
        <f t="shared" si="58"/>
        <v>#VALUE!</v>
      </c>
      <c r="X112" s="57" t="e">
        <f t="shared" si="59"/>
        <v>#VALUE!</v>
      </c>
      <c r="Y112" s="57" t="e">
        <f t="shared" si="60"/>
        <v>#VALUE!</v>
      </c>
      <c r="Z112" s="57"/>
      <c r="AA112" s="57"/>
      <c r="AB112" s="57"/>
      <c r="AC112" s="57"/>
      <c r="AD112" s="57"/>
      <c r="AE112" s="57"/>
      <c r="AF112" s="57"/>
      <c r="AG112" s="57"/>
      <c r="AH112" s="57"/>
      <c r="AI112" s="57"/>
      <c r="AJ112" s="57"/>
      <c r="AK112" s="57"/>
      <c r="AL112" s="57"/>
      <c r="AM112" s="57"/>
      <c r="AN112" s="57"/>
      <c r="AO112" s="57"/>
      <c r="AP112" s="57"/>
      <c r="AQ112" s="57"/>
      <c r="AR112" s="57"/>
      <c r="AS112" s="57"/>
    </row>
    <row r="113" spans="1:45">
      <c r="A113" s="57">
        <v>8</v>
      </c>
      <c r="B113" s="57">
        <v>2029</v>
      </c>
      <c r="C113" s="62">
        <f>SUM('4. Metinis CAPEX'!I$9:I$16)</f>
        <v>0</v>
      </c>
      <c r="D113" s="62" cm="1">
        <f t="array" ref="D113">SUMPRODUCT('4. Metinis CAPEX'!I$9:I$16,IFERROR('2. Investicijos'!$N$5:$N$12/'2. Investicijos'!$H$5:$H$12,0))</f>
        <v>0</v>
      </c>
      <c r="E113" s="62" cm="1">
        <f t="array" ref="E113">SUMPRODUCT('4. Metinis CAPEX'!I$9:I$16,IFERROR(('2. Investicijos'!$I$5:$I$12+'2. Investicijos'!$J$5:$J$12+'2. Investicijos'!$K$5:$K$12+'2. Investicijos'!$L$5:$L$12)/'2. Investicijos'!$H$5:$H$12,0))</f>
        <v>0</v>
      </c>
      <c r="F113" s="62" cm="1">
        <f t="array" ref="F113">SUM('2. Investicijos'!$H$5:$H$12*IF('2. Investicijos'!$G$5:$G$12&lt;=35,30%,40%))</f>
        <v>0</v>
      </c>
      <c r="G113" s="62" cm="1">
        <f t="array" ref="G113">IF(AND(2029&gt;=2026,2029&lt;2026+'6. Aprašo scenarijus'!$C$4),SUM('2. Investicijos'!$H$5:$H$12*IF('2. Investicijos'!$G$5:$G$12&lt;=35,30%,40%))/'6. Aprašo scenarijus'!$C$4,0)</f>
        <v>0</v>
      </c>
      <c r="H113" s="62">
        <f t="shared" si="54"/>
        <v>0</v>
      </c>
      <c r="I113" s="62">
        <f>SUM(I$5:I$12)</f>
        <v>0</v>
      </c>
      <c r="J113" s="62" t="e" cm="1">
        <f t="array" ref="J113">K113+L113+MAX(0,-R112)*IFERROR(SUMPRODUCT(IF('2. Investicijos'!$N$5:$N$12&gt;('2. Investicijos'!$H$5:$H$12*IF('2. Investicijos'!$G$5:$G$12&lt;=35,30%,40%)),'2. Investicijos'!$N$5:$N$12-('2. Investicijos'!$H$5:$H$12*IF('2. Investicijos'!$G$5:$G$12&lt;=35,30%,40%)),0),'2. Investicijos'!$O$5:$O$12/100)/SUM(IF('2. Investicijos'!$N$5:$N$12&gt;('2. Investicijos'!$H$5:$H$12*IF('2. Investicijos'!$G$5:$G$12&lt;=35,30%,40%)),'2. Investicijos'!$N$5:$N$12-('2. Investicijos'!$H$5:$H$12*IF('2. Investicijos'!$G$5:$G$12&lt;=35,30%,40%)),0)),0)</f>
        <v>#VALUE!</v>
      </c>
      <c r="K113" s="62">
        <f>SUM(AC$5:AC$12)</f>
        <v>0</v>
      </c>
      <c r="L113" s="62">
        <f>SUM(S$5:S$12)</f>
        <v>0</v>
      </c>
      <c r="M113" s="62">
        <f>SUM(AM$5:AM$12)</f>
        <v>0</v>
      </c>
      <c r="N113" s="62">
        <f>'3. Finansinės prielaidos'!F30+M113</f>
        <v>0</v>
      </c>
      <c r="O113" s="62">
        <f>'3. Finansinės prielaidos'!F31</f>
        <v>0</v>
      </c>
      <c r="P113" s="62">
        <f>'3. Finansinės prielaidos'!F32</f>
        <v>0</v>
      </c>
      <c r="Q113" s="62" t="e">
        <f t="shared" si="55"/>
        <v>#VALUE!</v>
      </c>
      <c r="R113" s="62" t="e">
        <f>R112+('3. Finansinės prielaidos'!F31-'3. Finansinės prielaidos'!E31)+Q113</f>
        <v>#VALUE!</v>
      </c>
      <c r="S113" s="62" t="e" cm="1">
        <f t="array" ref="S113">SUMPRODUCT(--(2029&gt;'2. Investicijos'!$F$5:$F$12),--(2029&lt;='2. Investicijos'!$F$5:$F$12+'2. Investicijos'!$G$5:$G$12),IFERROR(('2. Investicijos'!$M$5:$M$12+IF('2. Investicijos'!$N$5:$N$12&gt;('2. Investicijos'!$H$5:$H$12*IF('2. Investicijos'!$G$5:$G$12&lt;=35,30%,40%)),'2. Investicijos'!$N$5:$N$12-('2. Investicijos'!$H$5:$H$12*IF('2. Investicijos'!$G$5:$G$12&lt;=35,30%,40%)),0)+('2. Investicijos'!$H$5:$H$12*IF('2. Investicijos'!$G$5:$G$12&lt;=35,30%,40%)))/'2. Investicijos'!$G$5:$G$12,0))+SUMPRODUCT(--(2029&gt;'2. Investicijos'!$F$5:$F$12),--(2029&lt;='2. Investicijos'!$F$5:$F$12+'2. Investicijos'!$G$5:$G$12),IFERROR(('2. Investicijos'!$M$5:$M$12+IF('2. Investicijos'!$N$5:$N$12&gt;('2. Investicijos'!$H$5:$H$12*IF('2. Investicijos'!$G$5:$G$12&lt;=35,30%,40%)),'2. Investicijos'!$N$5:$N$12-('2. Investicijos'!$H$5:$H$12*IF('2. Investicijos'!$G$5:$G$12&lt;=35,30%,40%)),0))*(1-((2029-'2. Investicijos'!$F$5:$F$12)-1)/'2. Investicijos'!$G$5:$G$12),0)*'5. 0% scenarijus'!$C$5)</f>
        <v>#VALUE!</v>
      </c>
      <c r="T113" s="62" t="e">
        <f>'3. Finansinės prielaidos'!F29+S113+G113</f>
        <v>#VALUE!</v>
      </c>
      <c r="U113" s="62" t="e">
        <f t="shared" si="56"/>
        <v>#VALUE!</v>
      </c>
      <c r="V113" s="72" t="e">
        <f t="shared" si="57"/>
        <v>#VALUE!</v>
      </c>
      <c r="W113" s="72" t="e">
        <f t="shared" si="58"/>
        <v>#VALUE!</v>
      </c>
      <c r="X113" s="57" t="e">
        <f t="shared" si="59"/>
        <v>#VALUE!</v>
      </c>
      <c r="Y113" s="57" t="e">
        <f t="shared" si="60"/>
        <v>#VALUE!</v>
      </c>
      <c r="Z113" s="57"/>
      <c r="AA113" s="57"/>
      <c r="AB113" s="57"/>
      <c r="AC113" s="57"/>
      <c r="AD113" s="57"/>
      <c r="AE113" s="57"/>
      <c r="AF113" s="57"/>
      <c r="AG113" s="57"/>
      <c r="AH113" s="57"/>
      <c r="AI113" s="57"/>
      <c r="AJ113" s="57"/>
      <c r="AK113" s="57"/>
      <c r="AL113" s="57"/>
      <c r="AM113" s="57"/>
      <c r="AN113" s="57"/>
      <c r="AO113" s="57"/>
      <c r="AP113" s="57"/>
      <c r="AQ113" s="57"/>
      <c r="AR113" s="57"/>
      <c r="AS113" s="57"/>
    </row>
    <row r="114" spans="1:45">
      <c r="A114" s="57">
        <v>8</v>
      </c>
      <c r="B114" s="57">
        <v>2030</v>
      </c>
      <c r="C114" s="62">
        <f>SUM('4. Metinis CAPEX'!J$9:J$16)</f>
        <v>0</v>
      </c>
      <c r="D114" s="62" cm="1">
        <f t="array" ref="D114">SUMPRODUCT('4. Metinis CAPEX'!J$9:J$16,IFERROR('2. Investicijos'!$N$5:$N$12/'2. Investicijos'!$H$5:$H$12,0))</f>
        <v>0</v>
      </c>
      <c r="E114" s="62" cm="1">
        <f t="array" ref="E114">SUMPRODUCT('4. Metinis CAPEX'!J$9:J$16,IFERROR(('2. Investicijos'!$I$5:$I$12+'2. Investicijos'!$J$5:$J$12+'2. Investicijos'!$K$5:$K$12+'2. Investicijos'!$L$5:$L$12)/'2. Investicijos'!$H$5:$H$12,0))</f>
        <v>0</v>
      </c>
      <c r="F114" s="62" cm="1">
        <f t="array" ref="F114">SUM('2. Investicijos'!$H$5:$H$12*IF('2. Investicijos'!$G$5:$G$12&lt;=35,30%,40%))</f>
        <v>0</v>
      </c>
      <c r="G114" s="62" cm="1">
        <f t="array" ref="G114">IF(AND(2030&gt;=2026,2030&lt;2026+'6. Aprašo scenarijus'!$C$4),SUM('2. Investicijos'!$H$5:$H$12*IF('2. Investicijos'!$G$5:$G$12&lt;=35,30%,40%))/'6. Aprašo scenarijus'!$C$4,0)</f>
        <v>0</v>
      </c>
      <c r="H114" s="62">
        <f t="shared" si="54"/>
        <v>0</v>
      </c>
      <c r="I114" s="62">
        <f>SUM(J$5:J$12)</f>
        <v>0</v>
      </c>
      <c r="J114" s="62" t="e" cm="1">
        <f t="array" ref="J114">K114+L114+MAX(0,-R113)*IFERROR(SUMPRODUCT(IF('2. Investicijos'!$N$5:$N$12&gt;('2. Investicijos'!$H$5:$H$12*IF('2. Investicijos'!$G$5:$G$12&lt;=35,30%,40%)),'2. Investicijos'!$N$5:$N$12-('2. Investicijos'!$H$5:$H$12*IF('2. Investicijos'!$G$5:$G$12&lt;=35,30%,40%)),0),'2. Investicijos'!$O$5:$O$12/100)/SUM(IF('2. Investicijos'!$N$5:$N$12&gt;('2. Investicijos'!$H$5:$H$12*IF('2. Investicijos'!$G$5:$G$12&lt;=35,30%,40%)),'2. Investicijos'!$N$5:$N$12-('2. Investicijos'!$H$5:$H$12*IF('2. Investicijos'!$G$5:$G$12&lt;=35,30%,40%)),0)),0)</f>
        <v>#VALUE!</v>
      </c>
      <c r="K114" s="62">
        <f>SUM(AD$5:AD$12)</f>
        <v>0</v>
      </c>
      <c r="L114" s="62">
        <f>SUM(T$5:T$12)</f>
        <v>0</v>
      </c>
      <c r="M114" s="62">
        <f>SUM(AN$5:AN$12)</f>
        <v>0</v>
      </c>
      <c r="N114" s="62">
        <f>'3. Finansinės prielaidos'!G30+M114</f>
        <v>0</v>
      </c>
      <c r="O114" s="62">
        <f>'3. Finansinės prielaidos'!G31</f>
        <v>0</v>
      </c>
      <c r="P114" s="62">
        <f>'3. Finansinės prielaidos'!G32</f>
        <v>0</v>
      </c>
      <c r="Q114" s="62" t="e">
        <f t="shared" si="55"/>
        <v>#VALUE!</v>
      </c>
      <c r="R114" s="62" t="e">
        <f>R113+('3. Finansinės prielaidos'!G31-'3. Finansinės prielaidos'!F31)+Q114</f>
        <v>#VALUE!</v>
      </c>
      <c r="S114" s="62" t="e" cm="1">
        <f t="array" ref="S114">SUMPRODUCT(--(2030&gt;'2. Investicijos'!$F$5:$F$12),--(2030&lt;='2. Investicijos'!$F$5:$F$12+'2. Investicijos'!$G$5:$G$12),IFERROR(('2. Investicijos'!$M$5:$M$12+IF('2. Investicijos'!$N$5:$N$12&gt;('2. Investicijos'!$H$5:$H$12*IF('2. Investicijos'!$G$5:$G$12&lt;=35,30%,40%)),'2. Investicijos'!$N$5:$N$12-('2. Investicijos'!$H$5:$H$12*IF('2. Investicijos'!$G$5:$G$12&lt;=35,30%,40%)),0)+('2. Investicijos'!$H$5:$H$12*IF('2. Investicijos'!$G$5:$G$12&lt;=35,30%,40%)))/'2. Investicijos'!$G$5:$G$12,0))+SUMPRODUCT(--(2030&gt;'2. Investicijos'!$F$5:$F$12),--(2030&lt;='2. Investicijos'!$F$5:$F$12+'2. Investicijos'!$G$5:$G$12),IFERROR(('2. Investicijos'!$M$5:$M$12+IF('2. Investicijos'!$N$5:$N$12&gt;('2. Investicijos'!$H$5:$H$12*IF('2. Investicijos'!$G$5:$G$12&lt;=35,30%,40%)),'2. Investicijos'!$N$5:$N$12-('2. Investicijos'!$H$5:$H$12*IF('2. Investicijos'!$G$5:$G$12&lt;=35,30%,40%)),0))*(1-((2030-'2. Investicijos'!$F$5:$F$12)-1)/'2. Investicijos'!$G$5:$G$12),0)*'5. 0% scenarijus'!$C$5)</f>
        <v>#VALUE!</v>
      </c>
      <c r="T114" s="62" t="e">
        <f>'3. Finansinės prielaidos'!G29+S114+G114</f>
        <v>#VALUE!</v>
      </c>
      <c r="U114" s="62" t="e">
        <f t="shared" si="56"/>
        <v>#VALUE!</v>
      </c>
      <c r="V114" s="72" t="e">
        <f t="shared" si="57"/>
        <v>#VALUE!</v>
      </c>
      <c r="W114" s="72" t="e">
        <f t="shared" si="58"/>
        <v>#VALUE!</v>
      </c>
      <c r="X114" s="57" t="e">
        <f t="shared" si="59"/>
        <v>#VALUE!</v>
      </c>
      <c r="Y114" s="57" t="e">
        <f t="shared" si="60"/>
        <v>#VALUE!</v>
      </c>
      <c r="Z114" s="57"/>
      <c r="AA114" s="57"/>
      <c r="AB114" s="57"/>
      <c r="AC114" s="57"/>
      <c r="AD114" s="57"/>
      <c r="AE114" s="57"/>
      <c r="AF114" s="57"/>
      <c r="AG114" s="57"/>
      <c r="AH114" s="57"/>
      <c r="AI114" s="57"/>
      <c r="AJ114" s="57"/>
      <c r="AK114" s="57"/>
      <c r="AL114" s="57"/>
      <c r="AM114" s="57"/>
      <c r="AN114" s="57"/>
      <c r="AO114" s="57"/>
      <c r="AP114" s="57"/>
      <c r="AQ114" s="57"/>
      <c r="AR114" s="57"/>
      <c r="AS114" s="57"/>
    </row>
    <row r="115" spans="1:45">
      <c r="A115" s="57">
        <v>8</v>
      </c>
      <c r="B115" s="57">
        <v>2031</v>
      </c>
      <c r="C115" s="62">
        <f>SUM('4. Metinis CAPEX'!K$9:K$16)</f>
        <v>0</v>
      </c>
      <c r="D115" s="62" cm="1">
        <f t="array" ref="D115">SUMPRODUCT('4. Metinis CAPEX'!K$9:K$16,IFERROR('2. Investicijos'!$N$5:$N$12/'2. Investicijos'!$H$5:$H$12,0))</f>
        <v>0</v>
      </c>
      <c r="E115" s="62" cm="1">
        <f t="array" ref="E115">SUMPRODUCT('4. Metinis CAPEX'!K$9:K$16,IFERROR(('2. Investicijos'!$I$5:$I$12+'2. Investicijos'!$J$5:$J$12+'2. Investicijos'!$K$5:$K$12+'2. Investicijos'!$L$5:$L$12)/'2. Investicijos'!$H$5:$H$12,0))</f>
        <v>0</v>
      </c>
      <c r="F115" s="62" cm="1">
        <f t="array" ref="F115">SUM('2. Investicijos'!$H$5:$H$12*IF('2. Investicijos'!$G$5:$G$12&lt;=35,30%,40%))</f>
        <v>0</v>
      </c>
      <c r="G115" s="62" cm="1">
        <f t="array" ref="G115">IF(AND(2031&gt;=2026,2031&lt;2026+'6. Aprašo scenarijus'!$C$4),SUM('2. Investicijos'!$H$5:$H$12*IF('2. Investicijos'!$G$5:$G$12&lt;=35,30%,40%))/'6. Aprašo scenarijus'!$C$4,0)</f>
        <v>0</v>
      </c>
      <c r="H115" s="62">
        <f t="shared" si="54"/>
        <v>0</v>
      </c>
      <c r="I115" s="62">
        <f>SUM(K$5:K$12)</f>
        <v>0</v>
      </c>
      <c r="J115" s="62" t="e" cm="1">
        <f t="array" ref="J115">K115+L115+MAX(0,-R114)*IFERROR(SUMPRODUCT(IF('2. Investicijos'!$N$5:$N$12&gt;('2. Investicijos'!$H$5:$H$12*IF('2. Investicijos'!$G$5:$G$12&lt;=35,30%,40%)),'2. Investicijos'!$N$5:$N$12-('2. Investicijos'!$H$5:$H$12*IF('2. Investicijos'!$G$5:$G$12&lt;=35,30%,40%)),0),'2. Investicijos'!$O$5:$O$12/100)/SUM(IF('2. Investicijos'!$N$5:$N$12&gt;('2. Investicijos'!$H$5:$H$12*IF('2. Investicijos'!$G$5:$G$12&lt;=35,30%,40%)),'2. Investicijos'!$N$5:$N$12-('2. Investicijos'!$H$5:$H$12*IF('2. Investicijos'!$G$5:$G$12&lt;=35,30%,40%)),0)),0)</f>
        <v>#VALUE!</v>
      </c>
      <c r="K115" s="62">
        <f>SUM(AE$5:AE$12)</f>
        <v>0</v>
      </c>
      <c r="L115" s="62">
        <f>SUM(U$5:U$12)</f>
        <v>0</v>
      </c>
      <c r="M115" s="62">
        <f>SUM(AO$5:AO$12)</f>
        <v>0</v>
      </c>
      <c r="N115" s="62">
        <f>'3. Finansinės prielaidos'!H30+M115</f>
        <v>0</v>
      </c>
      <c r="O115" s="62">
        <f>'3. Finansinės prielaidos'!H31</f>
        <v>0</v>
      </c>
      <c r="P115" s="62">
        <f>'3. Finansinės prielaidos'!H32</f>
        <v>0</v>
      </c>
      <c r="Q115" s="62" t="e">
        <f t="shared" si="55"/>
        <v>#VALUE!</v>
      </c>
      <c r="R115" s="62" t="e">
        <f>R114+('3. Finansinės prielaidos'!H31-'3. Finansinės prielaidos'!G31)+Q115</f>
        <v>#VALUE!</v>
      </c>
      <c r="S115" s="62" t="e" cm="1">
        <f t="array" ref="S115">SUMPRODUCT(--(2031&gt;'2. Investicijos'!$F$5:$F$12),--(2031&lt;='2. Investicijos'!$F$5:$F$12+'2. Investicijos'!$G$5:$G$12),IFERROR(('2. Investicijos'!$M$5:$M$12+IF('2. Investicijos'!$N$5:$N$12&gt;('2. Investicijos'!$H$5:$H$12*IF('2. Investicijos'!$G$5:$G$12&lt;=35,30%,40%)),'2. Investicijos'!$N$5:$N$12-('2. Investicijos'!$H$5:$H$12*IF('2. Investicijos'!$G$5:$G$12&lt;=35,30%,40%)),0)+('2. Investicijos'!$H$5:$H$12*IF('2. Investicijos'!$G$5:$G$12&lt;=35,30%,40%)))/'2. Investicijos'!$G$5:$G$12,0))+SUMPRODUCT(--(2031&gt;'2. Investicijos'!$F$5:$F$12),--(2031&lt;='2. Investicijos'!$F$5:$F$12+'2. Investicijos'!$G$5:$G$12),IFERROR(('2. Investicijos'!$M$5:$M$12+IF('2. Investicijos'!$N$5:$N$12&gt;('2. Investicijos'!$H$5:$H$12*IF('2. Investicijos'!$G$5:$G$12&lt;=35,30%,40%)),'2. Investicijos'!$N$5:$N$12-('2. Investicijos'!$H$5:$H$12*IF('2. Investicijos'!$G$5:$G$12&lt;=35,30%,40%)),0))*(1-((2031-'2. Investicijos'!$F$5:$F$12)-1)/'2. Investicijos'!$G$5:$G$12),0)*'5. 0% scenarijus'!$C$5)</f>
        <v>#VALUE!</v>
      </c>
      <c r="T115" s="62" t="e">
        <f>'3. Finansinės prielaidos'!H29+S115+G115</f>
        <v>#VALUE!</v>
      </c>
      <c r="U115" s="62" t="e">
        <f t="shared" si="56"/>
        <v>#VALUE!</v>
      </c>
      <c r="V115" s="72" t="e">
        <f t="shared" si="57"/>
        <v>#VALUE!</v>
      </c>
      <c r="W115" s="72" t="e">
        <f t="shared" si="58"/>
        <v>#VALUE!</v>
      </c>
      <c r="X115" s="57" t="e">
        <f t="shared" si="59"/>
        <v>#VALUE!</v>
      </c>
      <c r="Y115" s="57" t="e">
        <f t="shared" si="60"/>
        <v>#VALUE!</v>
      </c>
      <c r="Z115" s="57"/>
      <c r="AA115" s="57"/>
      <c r="AB115" s="57"/>
      <c r="AC115" s="57"/>
      <c r="AD115" s="57"/>
      <c r="AE115" s="57"/>
      <c r="AF115" s="57"/>
      <c r="AG115" s="57"/>
      <c r="AH115" s="57"/>
      <c r="AI115" s="57"/>
      <c r="AJ115" s="57"/>
      <c r="AK115" s="57"/>
      <c r="AL115" s="57"/>
      <c r="AM115" s="57"/>
      <c r="AN115" s="57"/>
      <c r="AO115" s="57"/>
      <c r="AP115" s="57"/>
      <c r="AQ115" s="57"/>
      <c r="AR115" s="57"/>
      <c r="AS115" s="57"/>
    </row>
    <row r="116" spans="1:45">
      <c r="A116" s="57">
        <v>8</v>
      </c>
      <c r="B116" s="57">
        <v>2032</v>
      </c>
      <c r="C116" s="62">
        <f>SUM('4. Metinis CAPEX'!L$9:L$16)</f>
        <v>0</v>
      </c>
      <c r="D116" s="62" cm="1">
        <f t="array" ref="D116">SUMPRODUCT('4. Metinis CAPEX'!L$9:L$16,IFERROR('2. Investicijos'!$N$5:$N$12/'2. Investicijos'!$H$5:$H$12,0))</f>
        <v>0</v>
      </c>
      <c r="E116" s="62" cm="1">
        <f t="array" ref="E116">SUMPRODUCT('4. Metinis CAPEX'!L$9:L$16,IFERROR(('2. Investicijos'!$I$5:$I$12+'2. Investicijos'!$J$5:$J$12+'2. Investicijos'!$K$5:$K$12+'2. Investicijos'!$L$5:$L$12)/'2. Investicijos'!$H$5:$H$12,0))</f>
        <v>0</v>
      </c>
      <c r="F116" s="62" cm="1">
        <f t="array" ref="F116">SUM('2. Investicijos'!$H$5:$H$12*IF('2. Investicijos'!$G$5:$G$12&lt;=35,30%,40%))</f>
        <v>0</v>
      </c>
      <c r="G116" s="62" cm="1">
        <f t="array" ref="G116">IF(AND(2032&gt;=2026,2032&lt;2026+'6. Aprašo scenarijus'!$C$4),SUM('2. Investicijos'!$H$5:$H$12*IF('2. Investicijos'!$G$5:$G$12&lt;=35,30%,40%))/'6. Aprašo scenarijus'!$C$4,0)</f>
        <v>0</v>
      </c>
      <c r="H116" s="62">
        <f t="shared" si="54"/>
        <v>0</v>
      </c>
      <c r="I116" s="62">
        <f>SUM(L$5:L$12)</f>
        <v>0</v>
      </c>
      <c r="J116" s="62" t="e" cm="1">
        <f t="array" ref="J116">K116+L116+MAX(0,-R115)*IFERROR(SUMPRODUCT(IF('2. Investicijos'!$N$5:$N$12&gt;('2. Investicijos'!$H$5:$H$12*IF('2. Investicijos'!$G$5:$G$12&lt;=35,30%,40%)),'2. Investicijos'!$N$5:$N$12-('2. Investicijos'!$H$5:$H$12*IF('2. Investicijos'!$G$5:$G$12&lt;=35,30%,40%)),0),'2. Investicijos'!$O$5:$O$12/100)/SUM(IF('2. Investicijos'!$N$5:$N$12&gt;('2. Investicijos'!$H$5:$H$12*IF('2. Investicijos'!$G$5:$G$12&lt;=35,30%,40%)),'2. Investicijos'!$N$5:$N$12-('2. Investicijos'!$H$5:$H$12*IF('2. Investicijos'!$G$5:$G$12&lt;=35,30%,40%)),0)),0)</f>
        <v>#VALUE!</v>
      </c>
      <c r="K116" s="62">
        <f>SUM(AF$5:AF$12)</f>
        <v>0</v>
      </c>
      <c r="L116" s="62">
        <f>SUM(V$5:V$12)</f>
        <v>0</v>
      </c>
      <c r="M116" s="62">
        <f>SUM(AP$5:AP$12)</f>
        <v>0</v>
      </c>
      <c r="N116" s="62">
        <f>'3. Finansinės prielaidos'!I30+M116</f>
        <v>0</v>
      </c>
      <c r="O116" s="62">
        <f>'3. Finansinės prielaidos'!I31</f>
        <v>0</v>
      </c>
      <c r="P116" s="62">
        <f>'3. Finansinės prielaidos'!I32</f>
        <v>0</v>
      </c>
      <c r="Q116" s="62" t="e">
        <f t="shared" si="55"/>
        <v>#VALUE!</v>
      </c>
      <c r="R116" s="62" t="e">
        <f>R115+('3. Finansinės prielaidos'!I31-'3. Finansinės prielaidos'!H31)+Q116</f>
        <v>#VALUE!</v>
      </c>
      <c r="S116" s="62" t="e" cm="1">
        <f t="array" ref="S116">SUMPRODUCT(--(2032&gt;'2. Investicijos'!$F$5:$F$12),--(2032&lt;='2. Investicijos'!$F$5:$F$12+'2. Investicijos'!$G$5:$G$12),IFERROR(('2. Investicijos'!$M$5:$M$12+IF('2. Investicijos'!$N$5:$N$12&gt;('2. Investicijos'!$H$5:$H$12*IF('2. Investicijos'!$G$5:$G$12&lt;=35,30%,40%)),'2. Investicijos'!$N$5:$N$12-('2. Investicijos'!$H$5:$H$12*IF('2. Investicijos'!$G$5:$G$12&lt;=35,30%,40%)),0)+('2. Investicijos'!$H$5:$H$12*IF('2. Investicijos'!$G$5:$G$12&lt;=35,30%,40%)))/'2. Investicijos'!$G$5:$G$12,0))+SUMPRODUCT(--(2032&gt;'2. Investicijos'!$F$5:$F$12),--(2032&lt;='2. Investicijos'!$F$5:$F$12+'2. Investicijos'!$G$5:$G$12),IFERROR(('2. Investicijos'!$M$5:$M$12+IF('2. Investicijos'!$N$5:$N$12&gt;('2. Investicijos'!$H$5:$H$12*IF('2. Investicijos'!$G$5:$G$12&lt;=35,30%,40%)),'2. Investicijos'!$N$5:$N$12-('2. Investicijos'!$H$5:$H$12*IF('2. Investicijos'!$G$5:$G$12&lt;=35,30%,40%)),0))*(1-((2032-'2. Investicijos'!$F$5:$F$12)-1)/'2. Investicijos'!$G$5:$G$12),0)*'5. 0% scenarijus'!$C$5)</f>
        <v>#VALUE!</v>
      </c>
      <c r="T116" s="62" t="e">
        <f>'3. Finansinės prielaidos'!I29+S116+G116</f>
        <v>#VALUE!</v>
      </c>
      <c r="U116" s="62" t="e">
        <f t="shared" si="56"/>
        <v>#VALUE!</v>
      </c>
      <c r="V116" s="72" t="e">
        <f t="shared" si="57"/>
        <v>#VALUE!</v>
      </c>
      <c r="W116" s="72" t="e">
        <f t="shared" si="58"/>
        <v>#VALUE!</v>
      </c>
      <c r="X116" s="57" t="e">
        <f t="shared" si="59"/>
        <v>#VALUE!</v>
      </c>
      <c r="Y116" s="57" t="e">
        <f t="shared" si="60"/>
        <v>#VALUE!</v>
      </c>
      <c r="Z116" s="57"/>
      <c r="AA116" s="57"/>
      <c r="AB116" s="57"/>
      <c r="AC116" s="57"/>
      <c r="AD116" s="57"/>
      <c r="AE116" s="57"/>
      <c r="AF116" s="57"/>
      <c r="AG116" s="57"/>
      <c r="AH116" s="57"/>
      <c r="AI116" s="57"/>
      <c r="AJ116" s="57"/>
      <c r="AK116" s="57"/>
      <c r="AL116" s="57"/>
      <c r="AM116" s="57"/>
      <c r="AN116" s="57"/>
      <c r="AO116" s="57"/>
      <c r="AP116" s="57"/>
      <c r="AQ116" s="57"/>
      <c r="AR116" s="57"/>
      <c r="AS116" s="57"/>
    </row>
    <row r="117" spans="1:45">
      <c r="A117" s="57">
        <v>8</v>
      </c>
      <c r="B117" s="57">
        <v>2033</v>
      </c>
      <c r="C117" s="62">
        <f>SUM('4. Metinis CAPEX'!M$9:M$16)</f>
        <v>0</v>
      </c>
      <c r="D117" s="62" cm="1">
        <f t="array" ref="D117">SUMPRODUCT('4. Metinis CAPEX'!M$9:M$16,IFERROR('2. Investicijos'!$N$5:$N$12/'2. Investicijos'!$H$5:$H$12,0))</f>
        <v>0</v>
      </c>
      <c r="E117" s="62" cm="1">
        <f t="array" ref="E117">SUMPRODUCT('4. Metinis CAPEX'!M$9:M$16,IFERROR(('2. Investicijos'!$I$5:$I$12+'2. Investicijos'!$J$5:$J$12+'2. Investicijos'!$K$5:$K$12+'2. Investicijos'!$L$5:$L$12)/'2. Investicijos'!$H$5:$H$12,0))</f>
        <v>0</v>
      </c>
      <c r="F117" s="62" cm="1">
        <f t="array" ref="F117">SUM('2. Investicijos'!$H$5:$H$12*IF('2. Investicijos'!$G$5:$G$12&lt;=35,30%,40%))</f>
        <v>0</v>
      </c>
      <c r="G117" s="62" cm="1">
        <f t="array" ref="G117">IF(AND(2033&gt;=2026,2033&lt;2026+'6. Aprašo scenarijus'!$C$4),SUM('2. Investicijos'!$H$5:$H$12*IF('2. Investicijos'!$G$5:$G$12&lt;=35,30%,40%))/'6. Aprašo scenarijus'!$C$4,0)</f>
        <v>0</v>
      </c>
      <c r="H117" s="62">
        <f t="shared" si="54"/>
        <v>0</v>
      </c>
      <c r="I117" s="62">
        <f>SUM(M$5:M$12)</f>
        <v>0</v>
      </c>
      <c r="J117" s="62" t="e" cm="1">
        <f t="array" ref="J117">K117+L117+MAX(0,-R116)*IFERROR(SUMPRODUCT(IF('2. Investicijos'!$N$5:$N$12&gt;('2. Investicijos'!$H$5:$H$12*IF('2. Investicijos'!$G$5:$G$12&lt;=35,30%,40%)),'2. Investicijos'!$N$5:$N$12-('2. Investicijos'!$H$5:$H$12*IF('2. Investicijos'!$G$5:$G$12&lt;=35,30%,40%)),0),'2. Investicijos'!$O$5:$O$12/100)/SUM(IF('2. Investicijos'!$N$5:$N$12&gt;('2. Investicijos'!$H$5:$H$12*IF('2. Investicijos'!$G$5:$G$12&lt;=35,30%,40%)),'2. Investicijos'!$N$5:$N$12-('2. Investicijos'!$H$5:$H$12*IF('2. Investicijos'!$G$5:$G$12&lt;=35,30%,40%)),0)),0)</f>
        <v>#VALUE!</v>
      </c>
      <c r="K117" s="62">
        <f>SUM(AG$5:AG$12)</f>
        <v>0</v>
      </c>
      <c r="L117" s="62">
        <f>SUM(W$5:W$12)</f>
        <v>0</v>
      </c>
      <c r="M117" s="62">
        <f>SUM(AQ$5:AQ$12)</f>
        <v>0</v>
      </c>
      <c r="N117" s="62">
        <f>'3. Finansinės prielaidos'!J30+M117</f>
        <v>0</v>
      </c>
      <c r="O117" s="62">
        <f>'3. Finansinės prielaidos'!J31</f>
        <v>0</v>
      </c>
      <c r="P117" s="62">
        <f>'3. Finansinės prielaidos'!J32</f>
        <v>0</v>
      </c>
      <c r="Q117" s="62" t="e">
        <f t="shared" si="55"/>
        <v>#VALUE!</v>
      </c>
      <c r="R117" s="62" t="e">
        <f>R116+('3. Finansinės prielaidos'!J31-'3. Finansinės prielaidos'!I31)+Q117</f>
        <v>#VALUE!</v>
      </c>
      <c r="S117" s="62" t="e" cm="1">
        <f t="array" ref="S117">SUMPRODUCT(--(2033&gt;'2. Investicijos'!$F$5:$F$12),--(2033&lt;='2. Investicijos'!$F$5:$F$12+'2. Investicijos'!$G$5:$G$12),IFERROR(('2. Investicijos'!$M$5:$M$12+IF('2. Investicijos'!$N$5:$N$12&gt;('2. Investicijos'!$H$5:$H$12*IF('2. Investicijos'!$G$5:$G$12&lt;=35,30%,40%)),'2. Investicijos'!$N$5:$N$12-('2. Investicijos'!$H$5:$H$12*IF('2. Investicijos'!$G$5:$G$12&lt;=35,30%,40%)),0)+('2. Investicijos'!$H$5:$H$12*IF('2. Investicijos'!$G$5:$G$12&lt;=35,30%,40%)))/'2. Investicijos'!$G$5:$G$12,0))+SUMPRODUCT(--(2033&gt;'2. Investicijos'!$F$5:$F$12),--(2033&lt;='2. Investicijos'!$F$5:$F$12+'2. Investicijos'!$G$5:$G$12),IFERROR(('2. Investicijos'!$M$5:$M$12+IF('2. Investicijos'!$N$5:$N$12&gt;('2. Investicijos'!$H$5:$H$12*IF('2. Investicijos'!$G$5:$G$12&lt;=35,30%,40%)),'2. Investicijos'!$N$5:$N$12-('2. Investicijos'!$H$5:$H$12*IF('2. Investicijos'!$G$5:$G$12&lt;=35,30%,40%)),0))*(1-((2033-'2. Investicijos'!$F$5:$F$12)-1)/'2. Investicijos'!$G$5:$G$12),0)*'5. 0% scenarijus'!$C$5)</f>
        <v>#VALUE!</v>
      </c>
      <c r="T117" s="62" t="e">
        <f>'3. Finansinės prielaidos'!J29+S117+G117</f>
        <v>#VALUE!</v>
      </c>
      <c r="U117" s="62" t="e">
        <f t="shared" si="56"/>
        <v>#VALUE!</v>
      </c>
      <c r="V117" s="72" t="e">
        <f t="shared" si="57"/>
        <v>#VALUE!</v>
      </c>
      <c r="W117" s="72" t="e">
        <f t="shared" si="58"/>
        <v>#VALUE!</v>
      </c>
      <c r="X117" s="57" t="e">
        <f t="shared" si="59"/>
        <v>#VALUE!</v>
      </c>
      <c r="Y117" s="57" t="e">
        <f t="shared" si="60"/>
        <v>#VALUE!</v>
      </c>
      <c r="Z117" s="57"/>
      <c r="AA117" s="57"/>
      <c r="AB117" s="57"/>
      <c r="AC117" s="57"/>
      <c r="AD117" s="57"/>
      <c r="AE117" s="57"/>
      <c r="AF117" s="57"/>
      <c r="AG117" s="57"/>
      <c r="AH117" s="57"/>
      <c r="AI117" s="57"/>
      <c r="AJ117" s="57"/>
      <c r="AK117" s="57"/>
      <c r="AL117" s="57"/>
      <c r="AM117" s="57"/>
      <c r="AN117" s="57"/>
      <c r="AO117" s="57"/>
      <c r="AP117" s="57"/>
      <c r="AQ117" s="57"/>
      <c r="AR117" s="57"/>
      <c r="AS117" s="57"/>
    </row>
    <row r="118" spans="1:45">
      <c r="A118" s="57">
        <v>8</v>
      </c>
      <c r="B118" s="57">
        <v>2034</v>
      </c>
      <c r="C118" s="62">
        <f>SUM('4. Metinis CAPEX'!N$9:N$16)</f>
        <v>0</v>
      </c>
      <c r="D118" s="62" cm="1">
        <f t="array" ref="D118">SUMPRODUCT('4. Metinis CAPEX'!N$9:N$16,IFERROR('2. Investicijos'!$N$5:$N$12/'2. Investicijos'!$H$5:$H$12,0))</f>
        <v>0</v>
      </c>
      <c r="E118" s="62" cm="1">
        <f t="array" ref="E118">SUMPRODUCT('4. Metinis CAPEX'!N$9:N$16,IFERROR(('2. Investicijos'!$I$5:$I$12+'2. Investicijos'!$J$5:$J$12+'2. Investicijos'!$K$5:$K$12+'2. Investicijos'!$L$5:$L$12)/'2. Investicijos'!$H$5:$H$12,0))</f>
        <v>0</v>
      </c>
      <c r="F118" s="62" cm="1">
        <f t="array" ref="F118">SUM('2. Investicijos'!$H$5:$H$12*IF('2. Investicijos'!$G$5:$G$12&lt;=35,30%,40%))</f>
        <v>0</v>
      </c>
      <c r="G118" s="62" cm="1">
        <f t="array" ref="G118">IF(AND(2034&gt;=2026,2034&lt;2026+'6. Aprašo scenarijus'!$C$4),SUM('2. Investicijos'!$H$5:$H$12*IF('2. Investicijos'!$G$5:$G$12&lt;=35,30%,40%))/'6. Aprašo scenarijus'!$C$4,0)</f>
        <v>0</v>
      </c>
      <c r="H118" s="62">
        <f t="shared" si="54"/>
        <v>0</v>
      </c>
      <c r="I118" s="62">
        <f>SUM(N$5:N$12)</f>
        <v>0</v>
      </c>
      <c r="J118" s="62" t="e" cm="1">
        <f t="array" ref="J118">K118+L118+MAX(0,-R117)*IFERROR(SUMPRODUCT(IF('2. Investicijos'!$N$5:$N$12&gt;('2. Investicijos'!$H$5:$H$12*IF('2. Investicijos'!$G$5:$G$12&lt;=35,30%,40%)),'2. Investicijos'!$N$5:$N$12-('2. Investicijos'!$H$5:$H$12*IF('2. Investicijos'!$G$5:$G$12&lt;=35,30%,40%)),0),'2. Investicijos'!$O$5:$O$12/100)/SUM(IF('2. Investicijos'!$N$5:$N$12&gt;('2. Investicijos'!$H$5:$H$12*IF('2. Investicijos'!$G$5:$G$12&lt;=35,30%,40%)),'2. Investicijos'!$N$5:$N$12-('2. Investicijos'!$H$5:$H$12*IF('2. Investicijos'!$G$5:$G$12&lt;=35,30%,40%)),0)),0)</f>
        <v>#VALUE!</v>
      </c>
      <c r="K118" s="62">
        <f>SUM(AH$5:AH$12)</f>
        <v>0</v>
      </c>
      <c r="L118" s="62">
        <f>SUM(X$5:X$12)</f>
        <v>0</v>
      </c>
      <c r="M118" s="62">
        <f>SUM(AR$5:AR$12)</f>
        <v>0</v>
      </c>
      <c r="N118" s="62">
        <f>'3. Finansinės prielaidos'!K30+M118</f>
        <v>0</v>
      </c>
      <c r="O118" s="62">
        <f>'3. Finansinės prielaidos'!K31</f>
        <v>0</v>
      </c>
      <c r="P118" s="62">
        <f>'3. Finansinės prielaidos'!K32</f>
        <v>0</v>
      </c>
      <c r="Q118" s="62" t="e">
        <f t="shared" si="55"/>
        <v>#VALUE!</v>
      </c>
      <c r="R118" s="62" t="e">
        <f>R117+('3. Finansinės prielaidos'!K31-'3. Finansinės prielaidos'!J31)+Q118</f>
        <v>#VALUE!</v>
      </c>
      <c r="S118" s="62" t="e" cm="1">
        <f t="array" ref="S118">SUMPRODUCT(--(2034&gt;'2. Investicijos'!$F$5:$F$12),--(2034&lt;='2. Investicijos'!$F$5:$F$12+'2. Investicijos'!$G$5:$G$12),IFERROR(('2. Investicijos'!$M$5:$M$12+IF('2. Investicijos'!$N$5:$N$12&gt;('2. Investicijos'!$H$5:$H$12*IF('2. Investicijos'!$G$5:$G$12&lt;=35,30%,40%)),'2. Investicijos'!$N$5:$N$12-('2. Investicijos'!$H$5:$H$12*IF('2. Investicijos'!$G$5:$G$12&lt;=35,30%,40%)),0)+('2. Investicijos'!$H$5:$H$12*IF('2. Investicijos'!$G$5:$G$12&lt;=35,30%,40%)))/'2. Investicijos'!$G$5:$G$12,0))+SUMPRODUCT(--(2034&gt;'2. Investicijos'!$F$5:$F$12),--(2034&lt;='2. Investicijos'!$F$5:$F$12+'2. Investicijos'!$G$5:$G$12),IFERROR(('2. Investicijos'!$M$5:$M$12+IF('2. Investicijos'!$N$5:$N$12&gt;('2. Investicijos'!$H$5:$H$12*IF('2. Investicijos'!$G$5:$G$12&lt;=35,30%,40%)),'2. Investicijos'!$N$5:$N$12-('2. Investicijos'!$H$5:$H$12*IF('2. Investicijos'!$G$5:$G$12&lt;=35,30%,40%)),0))*(1-((2034-'2. Investicijos'!$F$5:$F$12)-1)/'2. Investicijos'!$G$5:$G$12),0)*'5. 0% scenarijus'!$C$5)</f>
        <v>#VALUE!</v>
      </c>
      <c r="T118" s="62" t="e">
        <f>'3. Finansinės prielaidos'!K29+S118+G118</f>
        <v>#VALUE!</v>
      </c>
      <c r="U118" s="62" t="e">
        <f t="shared" si="56"/>
        <v>#VALUE!</v>
      </c>
      <c r="V118" s="72" t="e">
        <f t="shared" si="57"/>
        <v>#VALUE!</v>
      </c>
      <c r="W118" s="72" t="e">
        <f t="shared" si="58"/>
        <v>#VALUE!</v>
      </c>
      <c r="X118" s="57" t="e">
        <f t="shared" si="59"/>
        <v>#VALUE!</v>
      </c>
      <c r="Y118" s="57" t="e">
        <f t="shared" si="60"/>
        <v>#VALUE!</v>
      </c>
      <c r="Z118" s="57"/>
      <c r="AA118" s="57"/>
      <c r="AB118" s="57"/>
      <c r="AC118" s="57"/>
      <c r="AD118" s="57"/>
      <c r="AE118" s="57"/>
      <c r="AF118" s="57"/>
      <c r="AG118" s="57"/>
      <c r="AH118" s="57"/>
      <c r="AI118" s="57"/>
      <c r="AJ118" s="57"/>
      <c r="AK118" s="57"/>
      <c r="AL118" s="57"/>
      <c r="AM118" s="57"/>
      <c r="AN118" s="57"/>
      <c r="AO118" s="57"/>
      <c r="AP118" s="57"/>
      <c r="AQ118" s="57"/>
      <c r="AR118" s="57"/>
      <c r="AS118" s="57"/>
    </row>
    <row r="119" spans="1:45">
      <c r="A119" s="57">
        <v>8</v>
      </c>
      <c r="B119" s="57">
        <v>2035</v>
      </c>
      <c r="C119" s="62">
        <f>SUM('4. Metinis CAPEX'!O$9:O$16)</f>
        <v>0</v>
      </c>
      <c r="D119" s="62" cm="1">
        <f t="array" ref="D119">SUMPRODUCT('4. Metinis CAPEX'!O$9:O$16,IFERROR('2. Investicijos'!$N$5:$N$12/'2. Investicijos'!$H$5:$H$12,0))</f>
        <v>0</v>
      </c>
      <c r="E119" s="62" cm="1">
        <f t="array" ref="E119">SUMPRODUCT('4. Metinis CAPEX'!O$9:O$16,IFERROR(('2. Investicijos'!$I$5:$I$12+'2. Investicijos'!$J$5:$J$12+'2. Investicijos'!$K$5:$K$12+'2. Investicijos'!$L$5:$L$12)/'2. Investicijos'!$H$5:$H$12,0))</f>
        <v>0</v>
      </c>
      <c r="F119" s="62" cm="1">
        <f t="array" ref="F119">SUM('2. Investicijos'!$H$5:$H$12*IF('2. Investicijos'!$G$5:$G$12&lt;=35,30%,40%))</f>
        <v>0</v>
      </c>
      <c r="G119" s="62" cm="1">
        <f t="array" ref="G119">IF(AND(2035&gt;=2026,2035&lt;2026+'6. Aprašo scenarijus'!$C$4),SUM('2. Investicijos'!$H$5:$H$12*IF('2. Investicijos'!$G$5:$G$12&lt;=35,30%,40%))/'6. Aprašo scenarijus'!$C$4,0)</f>
        <v>0</v>
      </c>
      <c r="H119" s="62">
        <f t="shared" si="54"/>
        <v>0</v>
      </c>
      <c r="I119" s="62">
        <f>SUM(O$5:O$12)</f>
        <v>0</v>
      </c>
      <c r="J119" s="62" t="e" cm="1">
        <f t="array" ref="J119">K119+L119+MAX(0,-R118)*IFERROR(SUMPRODUCT(IF('2. Investicijos'!$N$5:$N$12&gt;('2. Investicijos'!$H$5:$H$12*IF('2. Investicijos'!$G$5:$G$12&lt;=35,30%,40%)),'2. Investicijos'!$N$5:$N$12-('2. Investicijos'!$H$5:$H$12*IF('2. Investicijos'!$G$5:$G$12&lt;=35,30%,40%)),0),'2. Investicijos'!$O$5:$O$12/100)/SUM(IF('2. Investicijos'!$N$5:$N$12&gt;('2. Investicijos'!$H$5:$H$12*IF('2. Investicijos'!$G$5:$G$12&lt;=35,30%,40%)),'2. Investicijos'!$N$5:$N$12-('2. Investicijos'!$H$5:$H$12*IF('2. Investicijos'!$G$5:$G$12&lt;=35,30%,40%)),0)),0)</f>
        <v>#VALUE!</v>
      </c>
      <c r="K119" s="62">
        <f>SUM(AI$5:AI$12)</f>
        <v>0</v>
      </c>
      <c r="L119" s="62">
        <f>SUM(Y$5:Y$12)</f>
        <v>0</v>
      </c>
      <c r="M119" s="62">
        <f>SUM(AS$5:AS$12)</f>
        <v>0</v>
      </c>
      <c r="N119" s="62">
        <f>'3. Finansinės prielaidos'!L30+M119</f>
        <v>0</v>
      </c>
      <c r="O119" s="62">
        <f>'3. Finansinės prielaidos'!L31</f>
        <v>0</v>
      </c>
      <c r="P119" s="62">
        <f>'3. Finansinės prielaidos'!L32</f>
        <v>0</v>
      </c>
      <c r="Q119" s="62" t="e">
        <f t="shared" si="55"/>
        <v>#VALUE!</v>
      </c>
      <c r="R119" s="62" t="e">
        <f>R118+('3. Finansinės prielaidos'!L31-'3. Finansinės prielaidos'!K31)+Q119</f>
        <v>#VALUE!</v>
      </c>
      <c r="S119" s="62" t="e" cm="1">
        <f t="array" ref="S119">SUMPRODUCT(--(2035&gt;'2. Investicijos'!$F$5:$F$12),--(2035&lt;='2. Investicijos'!$F$5:$F$12+'2. Investicijos'!$G$5:$G$12),IFERROR(('2. Investicijos'!$M$5:$M$12+IF('2. Investicijos'!$N$5:$N$12&gt;('2. Investicijos'!$H$5:$H$12*IF('2. Investicijos'!$G$5:$G$12&lt;=35,30%,40%)),'2. Investicijos'!$N$5:$N$12-('2. Investicijos'!$H$5:$H$12*IF('2. Investicijos'!$G$5:$G$12&lt;=35,30%,40%)),0)+('2. Investicijos'!$H$5:$H$12*IF('2. Investicijos'!$G$5:$G$12&lt;=35,30%,40%)))/'2. Investicijos'!$G$5:$G$12,0))+SUMPRODUCT(--(2035&gt;'2. Investicijos'!$F$5:$F$12),--(2035&lt;='2. Investicijos'!$F$5:$F$12+'2. Investicijos'!$G$5:$G$12),IFERROR(('2. Investicijos'!$M$5:$M$12+IF('2. Investicijos'!$N$5:$N$12&gt;('2. Investicijos'!$H$5:$H$12*IF('2. Investicijos'!$G$5:$G$12&lt;=35,30%,40%)),'2. Investicijos'!$N$5:$N$12-('2. Investicijos'!$H$5:$H$12*IF('2. Investicijos'!$G$5:$G$12&lt;=35,30%,40%)),0))*(1-((2035-'2. Investicijos'!$F$5:$F$12)-1)/'2. Investicijos'!$G$5:$G$12),0)*'5. 0% scenarijus'!$C$5)</f>
        <v>#VALUE!</v>
      </c>
      <c r="T119" s="62" t="e">
        <f>'3. Finansinės prielaidos'!L29+S119+G119</f>
        <v>#VALUE!</v>
      </c>
      <c r="U119" s="62" t="e">
        <f t="shared" si="56"/>
        <v>#VALUE!</v>
      </c>
      <c r="V119" s="72" t="e">
        <f t="shared" si="57"/>
        <v>#VALUE!</v>
      </c>
      <c r="W119" s="72" t="e">
        <f t="shared" si="58"/>
        <v>#VALUE!</v>
      </c>
      <c r="X119" s="57" t="e">
        <f t="shared" si="59"/>
        <v>#VALUE!</v>
      </c>
      <c r="Y119" s="57" t="e">
        <f t="shared" si="60"/>
        <v>#VALUE!</v>
      </c>
      <c r="Z119" s="57"/>
      <c r="AA119" s="57"/>
      <c r="AB119" s="57"/>
      <c r="AC119" s="57"/>
      <c r="AD119" s="57"/>
      <c r="AE119" s="57"/>
      <c r="AF119" s="57"/>
      <c r="AG119" s="57"/>
      <c r="AH119" s="57"/>
      <c r="AI119" s="57"/>
      <c r="AJ119" s="57"/>
      <c r="AK119" s="57"/>
      <c r="AL119" s="57"/>
      <c r="AM119" s="57"/>
      <c r="AN119" s="57"/>
      <c r="AO119" s="57"/>
      <c r="AP119" s="57"/>
      <c r="AQ119" s="57"/>
      <c r="AR119" s="57"/>
      <c r="AS119" s="57"/>
    </row>
    <row r="120" spans="1:45">
      <c r="A120" s="57">
        <v>9</v>
      </c>
      <c r="B120" s="57">
        <v>2026</v>
      </c>
      <c r="C120" s="62">
        <f>SUM('4. Metinis CAPEX'!F$9:F$17)</f>
        <v>0</v>
      </c>
      <c r="D120" s="62" cm="1">
        <f t="array" ref="D120">SUMPRODUCT('4. Metinis CAPEX'!F$9:F$17,IFERROR('2. Investicijos'!$N$5:$N$13/'2. Investicijos'!$H$5:$H$13,0))</f>
        <v>0</v>
      </c>
      <c r="E120" s="62" cm="1">
        <f t="array" ref="E120">SUMPRODUCT('4. Metinis CAPEX'!F$9:F$17,IFERROR(('2. Investicijos'!$I$5:$I$13+'2. Investicijos'!$J$5:$J$13+'2. Investicijos'!$K$5:$K$13+'2. Investicijos'!$L$5:$L$13)/'2. Investicijos'!$H$5:$H$13,0))</f>
        <v>0</v>
      </c>
      <c r="F120" s="62" cm="1">
        <f t="array" ref="F120">SUM('2. Investicijos'!$H$5:$H$13*IF('2. Investicijos'!$G$5:$G$13&lt;=35,30%,40%))</f>
        <v>0</v>
      </c>
      <c r="G120" s="62" cm="1">
        <f t="array" ref="G120">IF(AND(2026&gt;=2026,2026&lt;2026+'6. Aprašo scenarijus'!$C$4),SUM('2. Investicijos'!$H$5:$H$13*IF('2. Investicijos'!$G$5:$G$13&lt;=35,30%,40%))/'6. Aprašo scenarijus'!$C$4,0)</f>
        <v>0</v>
      </c>
      <c r="H120" s="62">
        <f t="shared" si="54"/>
        <v>0</v>
      </c>
      <c r="I120" s="62">
        <f>SUM(F$5:F$13)</f>
        <v>0</v>
      </c>
      <c r="J120" s="62">
        <f>0</f>
        <v>0</v>
      </c>
      <c r="K120" s="62">
        <f>SUM(Z$5:Z$13)</f>
        <v>0</v>
      </c>
      <c r="L120" s="62">
        <f>SUM(P$5:P$13)</f>
        <v>0</v>
      </c>
      <c r="M120" s="62">
        <f>SUM(AJ$5:AJ$13)</f>
        <v>0</v>
      </c>
      <c r="N120" s="62">
        <f>'3. Finansinės prielaidos'!C30+M120</f>
        <v>0</v>
      </c>
      <c r="O120" s="62">
        <f>'3. Finansinės prielaidos'!C31</f>
        <v>0</v>
      </c>
      <c r="P120" s="62">
        <f>'3. Finansinės prielaidos'!C32</f>
        <v>0</v>
      </c>
      <c r="Q120" s="62" t="e">
        <f t="shared" si="55"/>
        <v>#VALUE!</v>
      </c>
      <c r="R120" s="62" t="e">
        <f>O120+Q120</f>
        <v>#VALUE!</v>
      </c>
      <c r="S120" s="62" t="e" cm="1">
        <f t="array" ref="S120">SUMPRODUCT(--(2026&gt;'2. Investicijos'!$F$5:$F$13),--(2026&lt;='2. Investicijos'!$F$5:$F$13+'2. Investicijos'!$G$5:$G$13),IFERROR(('2. Investicijos'!$M$5:$M$13+IF('2. Investicijos'!$N$5:$N$13&gt;('2. Investicijos'!$H$5:$H$13*IF('2. Investicijos'!$G$5:$G$13&lt;=35,30%,40%)),'2. Investicijos'!$N$5:$N$13-('2. Investicijos'!$H$5:$H$13*IF('2. Investicijos'!$G$5:$G$13&lt;=35,30%,40%)),0)+('2. Investicijos'!$H$5:$H$13*IF('2. Investicijos'!$G$5:$G$13&lt;=35,30%,40%)))/'2. Investicijos'!$G$5:$G$13,0))+SUMPRODUCT(--(2026&gt;'2. Investicijos'!$F$5:$F$13),--(2026&lt;='2. Investicijos'!$F$5:$F$13+'2. Investicijos'!$G$5:$G$13),IFERROR(('2. Investicijos'!$M$5:$M$13+IF('2. Investicijos'!$N$5:$N$13&gt;('2. Investicijos'!$H$5:$H$13*IF('2. Investicijos'!$G$5:$G$13&lt;=35,30%,40%)),'2. Investicijos'!$N$5:$N$13-('2. Investicijos'!$H$5:$H$13*IF('2. Investicijos'!$G$5:$G$13&lt;=35,30%,40%)),0))*(1-((2026-'2. Investicijos'!$F$5:$F$13)-1)/'2. Investicijos'!$G$5:$G$13),0)*'5. 0% scenarijus'!$C$5)</f>
        <v>#VALUE!</v>
      </c>
      <c r="T120" s="62" t="e">
        <f>'3. Finansinės prielaidos'!C29+S120+G120</f>
        <v>#VALUE!</v>
      </c>
      <c r="U120" s="62" t="e">
        <f t="shared" si="56"/>
        <v>#VALUE!</v>
      </c>
      <c r="V120" s="72" t="e">
        <f t="shared" si="57"/>
        <v>#VALUE!</v>
      </c>
      <c r="W120" s="72" t="e">
        <f t="shared" si="58"/>
        <v>#VALUE!</v>
      </c>
      <c r="X120" s="57" t="e">
        <f t="shared" si="59"/>
        <v>#VALUE!</v>
      </c>
      <c r="Y120" s="57" t="e">
        <f t="shared" si="60"/>
        <v>#VALUE!</v>
      </c>
      <c r="Z120" s="57"/>
      <c r="AA120" s="57"/>
      <c r="AB120" s="57"/>
      <c r="AC120" s="57"/>
      <c r="AD120" s="57"/>
      <c r="AE120" s="57"/>
      <c r="AF120" s="57"/>
      <c r="AG120" s="57"/>
      <c r="AH120" s="57"/>
      <c r="AI120" s="57"/>
      <c r="AJ120" s="57"/>
      <c r="AK120" s="57"/>
      <c r="AL120" s="57"/>
      <c r="AM120" s="57"/>
      <c r="AN120" s="57"/>
      <c r="AO120" s="57"/>
      <c r="AP120" s="57"/>
      <c r="AQ120" s="57"/>
      <c r="AR120" s="57"/>
      <c r="AS120" s="57"/>
    </row>
    <row r="121" spans="1:45">
      <c r="A121" s="57">
        <v>9</v>
      </c>
      <c r="B121" s="57">
        <v>2027</v>
      </c>
      <c r="C121" s="62">
        <f>SUM('4. Metinis CAPEX'!G$9:G$17)</f>
        <v>0</v>
      </c>
      <c r="D121" s="62" cm="1">
        <f t="array" ref="D121">SUMPRODUCT('4. Metinis CAPEX'!G$9:G$17,IFERROR('2. Investicijos'!$N$5:$N$13/'2. Investicijos'!$H$5:$H$13,0))</f>
        <v>0</v>
      </c>
      <c r="E121" s="62" cm="1">
        <f t="array" ref="E121">SUMPRODUCT('4. Metinis CAPEX'!G$9:G$17,IFERROR(('2. Investicijos'!$I$5:$I$13+'2. Investicijos'!$J$5:$J$13+'2. Investicijos'!$K$5:$K$13+'2. Investicijos'!$L$5:$L$13)/'2. Investicijos'!$H$5:$H$13,0))</f>
        <v>0</v>
      </c>
      <c r="F121" s="62" cm="1">
        <f t="array" ref="F121">SUM('2. Investicijos'!$H$5:$H$13*IF('2. Investicijos'!$G$5:$G$13&lt;=35,30%,40%))</f>
        <v>0</v>
      </c>
      <c r="G121" s="62" cm="1">
        <f t="array" ref="G121">IF(AND(2027&gt;=2026,2027&lt;2026+'6. Aprašo scenarijus'!$C$4),SUM('2. Investicijos'!$H$5:$H$13*IF('2. Investicijos'!$G$5:$G$13&lt;=35,30%,40%))/'6. Aprašo scenarijus'!$C$4,0)</f>
        <v>0</v>
      </c>
      <c r="H121" s="62">
        <f t="shared" si="54"/>
        <v>0</v>
      </c>
      <c r="I121" s="62">
        <f>SUM(G$5:G$13)</f>
        <v>0</v>
      </c>
      <c r="J121" s="62" t="e" cm="1">
        <f t="array" ref="J121">K121+L121+MAX(0,-R120)*IFERROR(SUMPRODUCT(IF('2. Investicijos'!$N$5:$N$13&gt;('2. Investicijos'!$H$5:$H$13*IF('2. Investicijos'!$G$5:$G$13&lt;=35,30%,40%)),'2. Investicijos'!$N$5:$N$13-('2. Investicijos'!$H$5:$H$13*IF('2. Investicijos'!$G$5:$G$13&lt;=35,30%,40%)),0),'2. Investicijos'!$O$5:$O$13/100)/SUM(IF('2. Investicijos'!$N$5:$N$13&gt;('2. Investicijos'!$H$5:$H$13*IF('2. Investicijos'!$G$5:$G$13&lt;=35,30%,40%)),'2. Investicijos'!$N$5:$N$13-('2. Investicijos'!$H$5:$H$13*IF('2. Investicijos'!$G$5:$G$13&lt;=35,30%,40%)),0)),0)</f>
        <v>#VALUE!</v>
      </c>
      <c r="K121" s="62">
        <f>SUM(AA$5:AA$13)</f>
        <v>0</v>
      </c>
      <c r="L121" s="62">
        <f>SUM(Q$5:Q$13)</f>
        <v>0</v>
      </c>
      <c r="M121" s="62">
        <f>SUM(AK$5:AK$13)</f>
        <v>0</v>
      </c>
      <c r="N121" s="62">
        <f>'3. Finansinės prielaidos'!D30+M121</f>
        <v>0</v>
      </c>
      <c r="O121" s="62">
        <f>'3. Finansinės prielaidos'!D31</f>
        <v>0</v>
      </c>
      <c r="P121" s="62">
        <f>'3. Finansinės prielaidos'!D32</f>
        <v>0</v>
      </c>
      <c r="Q121" s="62" t="e">
        <f t="shared" si="55"/>
        <v>#VALUE!</v>
      </c>
      <c r="R121" s="62" t="e">
        <f>R120+('3. Finansinės prielaidos'!D31-'3. Finansinės prielaidos'!C31)+Q121</f>
        <v>#VALUE!</v>
      </c>
      <c r="S121" s="62" t="e" cm="1">
        <f t="array" ref="S121">SUMPRODUCT(--(2027&gt;'2. Investicijos'!$F$5:$F$13),--(2027&lt;='2. Investicijos'!$F$5:$F$13+'2. Investicijos'!$G$5:$G$13),IFERROR(('2. Investicijos'!$M$5:$M$13+IF('2. Investicijos'!$N$5:$N$13&gt;('2. Investicijos'!$H$5:$H$13*IF('2. Investicijos'!$G$5:$G$13&lt;=35,30%,40%)),'2. Investicijos'!$N$5:$N$13-('2. Investicijos'!$H$5:$H$13*IF('2. Investicijos'!$G$5:$G$13&lt;=35,30%,40%)),0)+('2. Investicijos'!$H$5:$H$13*IF('2. Investicijos'!$G$5:$G$13&lt;=35,30%,40%)))/'2. Investicijos'!$G$5:$G$13,0))+SUMPRODUCT(--(2027&gt;'2. Investicijos'!$F$5:$F$13),--(2027&lt;='2. Investicijos'!$F$5:$F$13+'2. Investicijos'!$G$5:$G$13),IFERROR(('2. Investicijos'!$M$5:$M$13+IF('2. Investicijos'!$N$5:$N$13&gt;('2. Investicijos'!$H$5:$H$13*IF('2. Investicijos'!$G$5:$G$13&lt;=35,30%,40%)),'2. Investicijos'!$N$5:$N$13-('2. Investicijos'!$H$5:$H$13*IF('2. Investicijos'!$G$5:$G$13&lt;=35,30%,40%)),0))*(1-((2027-'2. Investicijos'!$F$5:$F$13)-1)/'2. Investicijos'!$G$5:$G$13),0)*'5. 0% scenarijus'!$C$5)</f>
        <v>#VALUE!</v>
      </c>
      <c r="T121" s="62" t="e">
        <f>'3. Finansinės prielaidos'!D29+S121+G121</f>
        <v>#VALUE!</v>
      </c>
      <c r="U121" s="62" t="e">
        <f t="shared" si="56"/>
        <v>#VALUE!</v>
      </c>
      <c r="V121" s="72" t="e">
        <f t="shared" si="57"/>
        <v>#VALUE!</v>
      </c>
      <c r="W121" s="72" t="e">
        <f t="shared" si="58"/>
        <v>#VALUE!</v>
      </c>
      <c r="X121" s="57" t="e">
        <f t="shared" si="59"/>
        <v>#VALUE!</v>
      </c>
      <c r="Y121" s="57" t="e">
        <f t="shared" si="60"/>
        <v>#VALUE!</v>
      </c>
      <c r="Z121" s="57"/>
      <c r="AA121" s="57"/>
      <c r="AB121" s="57"/>
      <c r="AC121" s="57"/>
      <c r="AD121" s="57"/>
      <c r="AE121" s="57"/>
      <c r="AF121" s="57"/>
      <c r="AG121" s="57"/>
      <c r="AH121" s="57"/>
      <c r="AI121" s="57"/>
      <c r="AJ121" s="57"/>
      <c r="AK121" s="57"/>
      <c r="AL121" s="57"/>
      <c r="AM121" s="57"/>
      <c r="AN121" s="57"/>
      <c r="AO121" s="57"/>
      <c r="AP121" s="57"/>
      <c r="AQ121" s="57"/>
      <c r="AR121" s="57"/>
      <c r="AS121" s="57"/>
    </row>
    <row r="122" spans="1:45">
      <c r="A122" s="57">
        <v>9</v>
      </c>
      <c r="B122" s="57">
        <v>2028</v>
      </c>
      <c r="C122" s="62">
        <f>SUM('4. Metinis CAPEX'!H$9:H$17)</f>
        <v>0</v>
      </c>
      <c r="D122" s="62" cm="1">
        <f t="array" ref="D122">SUMPRODUCT('4. Metinis CAPEX'!H$9:H$17,IFERROR('2. Investicijos'!$N$5:$N$13/'2. Investicijos'!$H$5:$H$13,0))</f>
        <v>0</v>
      </c>
      <c r="E122" s="62" cm="1">
        <f t="array" ref="E122">SUMPRODUCT('4. Metinis CAPEX'!H$9:H$17,IFERROR(('2. Investicijos'!$I$5:$I$13+'2. Investicijos'!$J$5:$J$13+'2. Investicijos'!$K$5:$K$13+'2. Investicijos'!$L$5:$L$13)/'2. Investicijos'!$H$5:$H$13,0))</f>
        <v>0</v>
      </c>
      <c r="F122" s="62" cm="1">
        <f t="array" ref="F122">SUM('2. Investicijos'!$H$5:$H$13*IF('2. Investicijos'!$G$5:$G$13&lt;=35,30%,40%))</f>
        <v>0</v>
      </c>
      <c r="G122" s="62" cm="1">
        <f t="array" ref="G122">IF(AND(2028&gt;=2026,2028&lt;2026+'6. Aprašo scenarijus'!$C$4),SUM('2. Investicijos'!$H$5:$H$13*IF('2. Investicijos'!$G$5:$G$13&lt;=35,30%,40%))/'6. Aprašo scenarijus'!$C$4,0)</f>
        <v>0</v>
      </c>
      <c r="H122" s="62">
        <f t="shared" si="54"/>
        <v>0</v>
      </c>
      <c r="I122" s="62">
        <f>SUM(H$5:H$13)</f>
        <v>0</v>
      </c>
      <c r="J122" s="62" t="e" cm="1">
        <f t="array" ref="J122">K122+L122+MAX(0,-R121)*IFERROR(SUMPRODUCT(IF('2. Investicijos'!$N$5:$N$13&gt;('2. Investicijos'!$H$5:$H$13*IF('2. Investicijos'!$G$5:$G$13&lt;=35,30%,40%)),'2. Investicijos'!$N$5:$N$13-('2. Investicijos'!$H$5:$H$13*IF('2. Investicijos'!$G$5:$G$13&lt;=35,30%,40%)),0),'2. Investicijos'!$O$5:$O$13/100)/SUM(IF('2. Investicijos'!$N$5:$N$13&gt;('2. Investicijos'!$H$5:$H$13*IF('2. Investicijos'!$G$5:$G$13&lt;=35,30%,40%)),'2. Investicijos'!$N$5:$N$13-('2. Investicijos'!$H$5:$H$13*IF('2. Investicijos'!$G$5:$G$13&lt;=35,30%,40%)),0)),0)</f>
        <v>#VALUE!</v>
      </c>
      <c r="K122" s="62">
        <f>SUM(AB$5:AB$13)</f>
        <v>0</v>
      </c>
      <c r="L122" s="62">
        <f>SUM(R$5:R$13)</f>
        <v>0</v>
      </c>
      <c r="M122" s="62">
        <f>SUM(AL$5:AL$13)</f>
        <v>0</v>
      </c>
      <c r="N122" s="62">
        <f>'3. Finansinės prielaidos'!E30+M122</f>
        <v>0</v>
      </c>
      <c r="O122" s="62">
        <f>'3. Finansinės prielaidos'!E31</f>
        <v>0</v>
      </c>
      <c r="P122" s="62">
        <f>'3. Finansinės prielaidos'!E32</f>
        <v>0</v>
      </c>
      <c r="Q122" s="62" t="e">
        <f t="shared" si="55"/>
        <v>#VALUE!</v>
      </c>
      <c r="R122" s="62" t="e">
        <f>R121+('3. Finansinės prielaidos'!E31-'3. Finansinės prielaidos'!D31)+Q122</f>
        <v>#VALUE!</v>
      </c>
      <c r="S122" s="62" t="e" cm="1">
        <f t="array" ref="S122">SUMPRODUCT(--(2028&gt;'2. Investicijos'!$F$5:$F$13),--(2028&lt;='2. Investicijos'!$F$5:$F$13+'2. Investicijos'!$G$5:$G$13),IFERROR(('2. Investicijos'!$M$5:$M$13+IF('2. Investicijos'!$N$5:$N$13&gt;('2. Investicijos'!$H$5:$H$13*IF('2. Investicijos'!$G$5:$G$13&lt;=35,30%,40%)),'2. Investicijos'!$N$5:$N$13-('2. Investicijos'!$H$5:$H$13*IF('2. Investicijos'!$G$5:$G$13&lt;=35,30%,40%)),0)+('2. Investicijos'!$H$5:$H$13*IF('2. Investicijos'!$G$5:$G$13&lt;=35,30%,40%)))/'2. Investicijos'!$G$5:$G$13,0))+SUMPRODUCT(--(2028&gt;'2. Investicijos'!$F$5:$F$13),--(2028&lt;='2. Investicijos'!$F$5:$F$13+'2. Investicijos'!$G$5:$G$13),IFERROR(('2. Investicijos'!$M$5:$M$13+IF('2. Investicijos'!$N$5:$N$13&gt;('2. Investicijos'!$H$5:$H$13*IF('2. Investicijos'!$G$5:$G$13&lt;=35,30%,40%)),'2. Investicijos'!$N$5:$N$13-('2. Investicijos'!$H$5:$H$13*IF('2. Investicijos'!$G$5:$G$13&lt;=35,30%,40%)),0))*(1-((2028-'2. Investicijos'!$F$5:$F$13)-1)/'2. Investicijos'!$G$5:$G$13),0)*'5. 0% scenarijus'!$C$5)</f>
        <v>#VALUE!</v>
      </c>
      <c r="T122" s="62" t="e">
        <f>'3. Finansinės prielaidos'!E29+S122+G122</f>
        <v>#VALUE!</v>
      </c>
      <c r="U122" s="62" t="e">
        <f t="shared" si="56"/>
        <v>#VALUE!</v>
      </c>
      <c r="V122" s="72" t="e">
        <f t="shared" si="57"/>
        <v>#VALUE!</v>
      </c>
      <c r="W122" s="72" t="e">
        <f t="shared" si="58"/>
        <v>#VALUE!</v>
      </c>
      <c r="X122" s="57" t="e">
        <f t="shared" si="59"/>
        <v>#VALUE!</v>
      </c>
      <c r="Y122" s="57" t="e">
        <f t="shared" si="60"/>
        <v>#VALUE!</v>
      </c>
      <c r="Z122" s="57"/>
      <c r="AA122" s="57"/>
      <c r="AB122" s="57"/>
      <c r="AC122" s="57"/>
      <c r="AD122" s="57"/>
      <c r="AE122" s="57"/>
      <c r="AF122" s="57"/>
      <c r="AG122" s="57"/>
      <c r="AH122" s="57"/>
      <c r="AI122" s="57"/>
      <c r="AJ122" s="57"/>
      <c r="AK122" s="57"/>
      <c r="AL122" s="57"/>
      <c r="AM122" s="57"/>
      <c r="AN122" s="57"/>
      <c r="AO122" s="57"/>
      <c r="AP122" s="57"/>
      <c r="AQ122" s="57"/>
      <c r="AR122" s="57"/>
      <c r="AS122" s="57"/>
    </row>
    <row r="123" spans="1:45">
      <c r="A123" s="57">
        <v>9</v>
      </c>
      <c r="B123" s="57">
        <v>2029</v>
      </c>
      <c r="C123" s="62">
        <f>SUM('4. Metinis CAPEX'!I$9:I$17)</f>
        <v>0</v>
      </c>
      <c r="D123" s="62" cm="1">
        <f t="array" ref="D123">SUMPRODUCT('4. Metinis CAPEX'!I$9:I$17,IFERROR('2. Investicijos'!$N$5:$N$13/'2. Investicijos'!$H$5:$H$13,0))</f>
        <v>0</v>
      </c>
      <c r="E123" s="62" cm="1">
        <f t="array" ref="E123">SUMPRODUCT('4. Metinis CAPEX'!I$9:I$17,IFERROR(('2. Investicijos'!$I$5:$I$13+'2. Investicijos'!$J$5:$J$13+'2. Investicijos'!$K$5:$K$13+'2. Investicijos'!$L$5:$L$13)/'2. Investicijos'!$H$5:$H$13,0))</f>
        <v>0</v>
      </c>
      <c r="F123" s="62" cm="1">
        <f t="array" ref="F123">SUM('2. Investicijos'!$H$5:$H$13*IF('2. Investicijos'!$G$5:$G$13&lt;=35,30%,40%))</f>
        <v>0</v>
      </c>
      <c r="G123" s="62" cm="1">
        <f t="array" ref="G123">IF(AND(2029&gt;=2026,2029&lt;2026+'6. Aprašo scenarijus'!$C$4),SUM('2. Investicijos'!$H$5:$H$13*IF('2. Investicijos'!$G$5:$G$13&lt;=35,30%,40%))/'6. Aprašo scenarijus'!$C$4,0)</f>
        <v>0</v>
      </c>
      <c r="H123" s="62">
        <f t="shared" si="54"/>
        <v>0</v>
      </c>
      <c r="I123" s="62">
        <f>SUM(I$5:I$13)</f>
        <v>0</v>
      </c>
      <c r="J123" s="62" t="e" cm="1">
        <f t="array" ref="J123">K123+L123+MAX(0,-R122)*IFERROR(SUMPRODUCT(IF('2. Investicijos'!$N$5:$N$13&gt;('2. Investicijos'!$H$5:$H$13*IF('2. Investicijos'!$G$5:$G$13&lt;=35,30%,40%)),'2. Investicijos'!$N$5:$N$13-('2. Investicijos'!$H$5:$H$13*IF('2. Investicijos'!$G$5:$G$13&lt;=35,30%,40%)),0),'2. Investicijos'!$O$5:$O$13/100)/SUM(IF('2. Investicijos'!$N$5:$N$13&gt;('2. Investicijos'!$H$5:$H$13*IF('2. Investicijos'!$G$5:$G$13&lt;=35,30%,40%)),'2. Investicijos'!$N$5:$N$13-('2. Investicijos'!$H$5:$H$13*IF('2. Investicijos'!$G$5:$G$13&lt;=35,30%,40%)),0)),0)</f>
        <v>#VALUE!</v>
      </c>
      <c r="K123" s="62">
        <f>SUM(AC$5:AC$13)</f>
        <v>0</v>
      </c>
      <c r="L123" s="62">
        <f>SUM(S$5:S$13)</f>
        <v>0</v>
      </c>
      <c r="M123" s="62">
        <f>SUM(AM$5:AM$13)</f>
        <v>0</v>
      </c>
      <c r="N123" s="62">
        <f>'3. Finansinės prielaidos'!F30+M123</f>
        <v>0</v>
      </c>
      <c r="O123" s="62">
        <f>'3. Finansinės prielaidos'!F31</f>
        <v>0</v>
      </c>
      <c r="P123" s="62">
        <f>'3. Finansinės prielaidos'!F32</f>
        <v>0</v>
      </c>
      <c r="Q123" s="62" t="e">
        <f t="shared" si="55"/>
        <v>#VALUE!</v>
      </c>
      <c r="R123" s="62" t="e">
        <f>R122+('3. Finansinės prielaidos'!F31-'3. Finansinės prielaidos'!E31)+Q123</f>
        <v>#VALUE!</v>
      </c>
      <c r="S123" s="62" t="e" cm="1">
        <f t="array" ref="S123">SUMPRODUCT(--(2029&gt;'2. Investicijos'!$F$5:$F$13),--(2029&lt;='2. Investicijos'!$F$5:$F$13+'2. Investicijos'!$G$5:$G$13),IFERROR(('2. Investicijos'!$M$5:$M$13+IF('2. Investicijos'!$N$5:$N$13&gt;('2. Investicijos'!$H$5:$H$13*IF('2. Investicijos'!$G$5:$G$13&lt;=35,30%,40%)),'2. Investicijos'!$N$5:$N$13-('2. Investicijos'!$H$5:$H$13*IF('2. Investicijos'!$G$5:$G$13&lt;=35,30%,40%)),0)+('2. Investicijos'!$H$5:$H$13*IF('2. Investicijos'!$G$5:$G$13&lt;=35,30%,40%)))/'2. Investicijos'!$G$5:$G$13,0))+SUMPRODUCT(--(2029&gt;'2. Investicijos'!$F$5:$F$13),--(2029&lt;='2. Investicijos'!$F$5:$F$13+'2. Investicijos'!$G$5:$G$13),IFERROR(('2. Investicijos'!$M$5:$M$13+IF('2. Investicijos'!$N$5:$N$13&gt;('2. Investicijos'!$H$5:$H$13*IF('2. Investicijos'!$G$5:$G$13&lt;=35,30%,40%)),'2. Investicijos'!$N$5:$N$13-('2. Investicijos'!$H$5:$H$13*IF('2. Investicijos'!$G$5:$G$13&lt;=35,30%,40%)),0))*(1-((2029-'2. Investicijos'!$F$5:$F$13)-1)/'2. Investicijos'!$G$5:$G$13),0)*'5. 0% scenarijus'!$C$5)</f>
        <v>#VALUE!</v>
      </c>
      <c r="T123" s="62" t="e">
        <f>'3. Finansinės prielaidos'!F29+S123+G123</f>
        <v>#VALUE!</v>
      </c>
      <c r="U123" s="62" t="e">
        <f t="shared" si="56"/>
        <v>#VALUE!</v>
      </c>
      <c r="V123" s="72" t="e">
        <f t="shared" si="57"/>
        <v>#VALUE!</v>
      </c>
      <c r="W123" s="72" t="e">
        <f t="shared" si="58"/>
        <v>#VALUE!</v>
      </c>
      <c r="X123" s="57" t="e">
        <f t="shared" si="59"/>
        <v>#VALUE!</v>
      </c>
      <c r="Y123" s="57" t="e">
        <f t="shared" si="60"/>
        <v>#VALUE!</v>
      </c>
      <c r="Z123" s="57"/>
      <c r="AA123" s="57"/>
      <c r="AB123" s="57"/>
      <c r="AC123" s="57"/>
      <c r="AD123" s="57"/>
      <c r="AE123" s="57"/>
      <c r="AF123" s="57"/>
      <c r="AG123" s="57"/>
      <c r="AH123" s="57"/>
      <c r="AI123" s="57"/>
      <c r="AJ123" s="57"/>
      <c r="AK123" s="57"/>
      <c r="AL123" s="57"/>
      <c r="AM123" s="57"/>
      <c r="AN123" s="57"/>
      <c r="AO123" s="57"/>
      <c r="AP123" s="57"/>
      <c r="AQ123" s="57"/>
      <c r="AR123" s="57"/>
      <c r="AS123" s="57"/>
    </row>
    <row r="124" spans="1:45">
      <c r="A124" s="57">
        <v>9</v>
      </c>
      <c r="B124" s="57">
        <v>2030</v>
      </c>
      <c r="C124" s="62">
        <f>SUM('4. Metinis CAPEX'!J$9:J$17)</f>
        <v>0</v>
      </c>
      <c r="D124" s="62" cm="1">
        <f t="array" ref="D124">SUMPRODUCT('4. Metinis CAPEX'!J$9:J$17,IFERROR('2. Investicijos'!$N$5:$N$13/'2. Investicijos'!$H$5:$H$13,0))</f>
        <v>0</v>
      </c>
      <c r="E124" s="62" cm="1">
        <f t="array" ref="E124">SUMPRODUCT('4. Metinis CAPEX'!J$9:J$17,IFERROR(('2. Investicijos'!$I$5:$I$13+'2. Investicijos'!$J$5:$J$13+'2. Investicijos'!$K$5:$K$13+'2. Investicijos'!$L$5:$L$13)/'2. Investicijos'!$H$5:$H$13,0))</f>
        <v>0</v>
      </c>
      <c r="F124" s="62" cm="1">
        <f t="array" ref="F124">SUM('2. Investicijos'!$H$5:$H$13*IF('2. Investicijos'!$G$5:$G$13&lt;=35,30%,40%))</f>
        <v>0</v>
      </c>
      <c r="G124" s="62" cm="1">
        <f t="array" ref="G124">IF(AND(2030&gt;=2026,2030&lt;2026+'6. Aprašo scenarijus'!$C$4),SUM('2. Investicijos'!$H$5:$H$13*IF('2. Investicijos'!$G$5:$G$13&lt;=35,30%,40%))/'6. Aprašo scenarijus'!$C$4,0)</f>
        <v>0</v>
      </c>
      <c r="H124" s="62">
        <f t="shared" si="54"/>
        <v>0</v>
      </c>
      <c r="I124" s="62">
        <f>SUM(J$5:J$13)</f>
        <v>0</v>
      </c>
      <c r="J124" s="62" t="e" cm="1">
        <f t="array" ref="J124">K124+L124+MAX(0,-R123)*IFERROR(SUMPRODUCT(IF('2. Investicijos'!$N$5:$N$13&gt;('2. Investicijos'!$H$5:$H$13*IF('2. Investicijos'!$G$5:$G$13&lt;=35,30%,40%)),'2. Investicijos'!$N$5:$N$13-('2. Investicijos'!$H$5:$H$13*IF('2. Investicijos'!$G$5:$G$13&lt;=35,30%,40%)),0),'2. Investicijos'!$O$5:$O$13/100)/SUM(IF('2. Investicijos'!$N$5:$N$13&gt;('2. Investicijos'!$H$5:$H$13*IF('2. Investicijos'!$G$5:$G$13&lt;=35,30%,40%)),'2. Investicijos'!$N$5:$N$13-('2. Investicijos'!$H$5:$H$13*IF('2. Investicijos'!$G$5:$G$13&lt;=35,30%,40%)),0)),0)</f>
        <v>#VALUE!</v>
      </c>
      <c r="K124" s="62">
        <f>SUM(AD$5:AD$13)</f>
        <v>0</v>
      </c>
      <c r="L124" s="62">
        <f>SUM(T$5:T$13)</f>
        <v>0</v>
      </c>
      <c r="M124" s="62">
        <f>SUM(AN$5:AN$13)</f>
        <v>0</v>
      </c>
      <c r="N124" s="62">
        <f>'3. Finansinės prielaidos'!G30+M124</f>
        <v>0</v>
      </c>
      <c r="O124" s="62">
        <f>'3. Finansinės prielaidos'!G31</f>
        <v>0</v>
      </c>
      <c r="P124" s="62">
        <f>'3. Finansinės prielaidos'!G32</f>
        <v>0</v>
      </c>
      <c r="Q124" s="62" t="e">
        <f t="shared" si="55"/>
        <v>#VALUE!</v>
      </c>
      <c r="R124" s="62" t="e">
        <f>R123+('3. Finansinės prielaidos'!G31-'3. Finansinės prielaidos'!F31)+Q124</f>
        <v>#VALUE!</v>
      </c>
      <c r="S124" s="62" t="e" cm="1">
        <f t="array" ref="S124">SUMPRODUCT(--(2030&gt;'2. Investicijos'!$F$5:$F$13),--(2030&lt;='2. Investicijos'!$F$5:$F$13+'2. Investicijos'!$G$5:$G$13),IFERROR(('2. Investicijos'!$M$5:$M$13+IF('2. Investicijos'!$N$5:$N$13&gt;('2. Investicijos'!$H$5:$H$13*IF('2. Investicijos'!$G$5:$G$13&lt;=35,30%,40%)),'2. Investicijos'!$N$5:$N$13-('2. Investicijos'!$H$5:$H$13*IF('2. Investicijos'!$G$5:$G$13&lt;=35,30%,40%)),0)+('2. Investicijos'!$H$5:$H$13*IF('2. Investicijos'!$G$5:$G$13&lt;=35,30%,40%)))/'2. Investicijos'!$G$5:$G$13,0))+SUMPRODUCT(--(2030&gt;'2. Investicijos'!$F$5:$F$13),--(2030&lt;='2. Investicijos'!$F$5:$F$13+'2. Investicijos'!$G$5:$G$13),IFERROR(('2. Investicijos'!$M$5:$M$13+IF('2. Investicijos'!$N$5:$N$13&gt;('2. Investicijos'!$H$5:$H$13*IF('2. Investicijos'!$G$5:$G$13&lt;=35,30%,40%)),'2. Investicijos'!$N$5:$N$13-('2. Investicijos'!$H$5:$H$13*IF('2. Investicijos'!$G$5:$G$13&lt;=35,30%,40%)),0))*(1-((2030-'2. Investicijos'!$F$5:$F$13)-1)/'2. Investicijos'!$G$5:$G$13),0)*'5. 0% scenarijus'!$C$5)</f>
        <v>#VALUE!</v>
      </c>
      <c r="T124" s="62" t="e">
        <f>'3. Finansinės prielaidos'!G29+S124+G124</f>
        <v>#VALUE!</v>
      </c>
      <c r="U124" s="62" t="e">
        <f t="shared" si="56"/>
        <v>#VALUE!</v>
      </c>
      <c r="V124" s="72" t="e">
        <f t="shared" si="57"/>
        <v>#VALUE!</v>
      </c>
      <c r="W124" s="72" t="e">
        <f t="shared" si="58"/>
        <v>#VALUE!</v>
      </c>
      <c r="X124" s="57" t="e">
        <f t="shared" si="59"/>
        <v>#VALUE!</v>
      </c>
      <c r="Y124" s="57" t="e">
        <f t="shared" si="60"/>
        <v>#VALUE!</v>
      </c>
      <c r="Z124" s="57"/>
      <c r="AA124" s="57"/>
      <c r="AB124" s="57"/>
      <c r="AC124" s="57"/>
      <c r="AD124" s="57"/>
      <c r="AE124" s="57"/>
      <c r="AF124" s="57"/>
      <c r="AG124" s="57"/>
      <c r="AH124" s="57"/>
      <c r="AI124" s="57"/>
      <c r="AJ124" s="57"/>
      <c r="AK124" s="57"/>
      <c r="AL124" s="57"/>
      <c r="AM124" s="57"/>
      <c r="AN124" s="57"/>
      <c r="AO124" s="57"/>
      <c r="AP124" s="57"/>
      <c r="AQ124" s="57"/>
      <c r="AR124" s="57"/>
      <c r="AS124" s="57"/>
    </row>
    <row r="125" spans="1:45">
      <c r="A125" s="57">
        <v>9</v>
      </c>
      <c r="B125" s="57">
        <v>2031</v>
      </c>
      <c r="C125" s="62">
        <f>SUM('4. Metinis CAPEX'!K$9:K$17)</f>
        <v>0</v>
      </c>
      <c r="D125" s="62" cm="1">
        <f t="array" ref="D125">SUMPRODUCT('4. Metinis CAPEX'!K$9:K$17,IFERROR('2. Investicijos'!$N$5:$N$13/'2. Investicijos'!$H$5:$H$13,0))</f>
        <v>0</v>
      </c>
      <c r="E125" s="62" cm="1">
        <f t="array" ref="E125">SUMPRODUCT('4. Metinis CAPEX'!K$9:K$17,IFERROR(('2. Investicijos'!$I$5:$I$13+'2. Investicijos'!$J$5:$J$13+'2. Investicijos'!$K$5:$K$13+'2. Investicijos'!$L$5:$L$13)/'2. Investicijos'!$H$5:$H$13,0))</f>
        <v>0</v>
      </c>
      <c r="F125" s="62" cm="1">
        <f t="array" ref="F125">SUM('2. Investicijos'!$H$5:$H$13*IF('2. Investicijos'!$G$5:$G$13&lt;=35,30%,40%))</f>
        <v>0</v>
      </c>
      <c r="G125" s="62" cm="1">
        <f t="array" ref="G125">IF(AND(2031&gt;=2026,2031&lt;2026+'6. Aprašo scenarijus'!$C$4),SUM('2. Investicijos'!$H$5:$H$13*IF('2. Investicijos'!$G$5:$G$13&lt;=35,30%,40%))/'6. Aprašo scenarijus'!$C$4,0)</f>
        <v>0</v>
      </c>
      <c r="H125" s="62">
        <f t="shared" si="54"/>
        <v>0</v>
      </c>
      <c r="I125" s="62">
        <f>SUM(K$5:K$13)</f>
        <v>0</v>
      </c>
      <c r="J125" s="62" t="e" cm="1">
        <f t="array" ref="J125">K125+L125+MAX(0,-R124)*IFERROR(SUMPRODUCT(IF('2. Investicijos'!$N$5:$N$13&gt;('2. Investicijos'!$H$5:$H$13*IF('2. Investicijos'!$G$5:$G$13&lt;=35,30%,40%)),'2. Investicijos'!$N$5:$N$13-('2. Investicijos'!$H$5:$H$13*IF('2. Investicijos'!$G$5:$G$13&lt;=35,30%,40%)),0),'2. Investicijos'!$O$5:$O$13/100)/SUM(IF('2. Investicijos'!$N$5:$N$13&gt;('2. Investicijos'!$H$5:$H$13*IF('2. Investicijos'!$G$5:$G$13&lt;=35,30%,40%)),'2. Investicijos'!$N$5:$N$13-('2. Investicijos'!$H$5:$H$13*IF('2. Investicijos'!$G$5:$G$13&lt;=35,30%,40%)),0)),0)</f>
        <v>#VALUE!</v>
      </c>
      <c r="K125" s="62">
        <f>SUM(AE$5:AE$13)</f>
        <v>0</v>
      </c>
      <c r="L125" s="62">
        <f>SUM(U$5:U$13)</f>
        <v>0</v>
      </c>
      <c r="M125" s="62">
        <f>SUM(AO$5:AO$13)</f>
        <v>0</v>
      </c>
      <c r="N125" s="62">
        <f>'3. Finansinės prielaidos'!H30+M125</f>
        <v>0</v>
      </c>
      <c r="O125" s="62">
        <f>'3. Finansinės prielaidos'!H31</f>
        <v>0</v>
      </c>
      <c r="P125" s="62">
        <f>'3. Finansinės prielaidos'!H32</f>
        <v>0</v>
      </c>
      <c r="Q125" s="62" t="e">
        <f t="shared" si="55"/>
        <v>#VALUE!</v>
      </c>
      <c r="R125" s="62" t="e">
        <f>R124+('3. Finansinės prielaidos'!H31-'3. Finansinės prielaidos'!G31)+Q125</f>
        <v>#VALUE!</v>
      </c>
      <c r="S125" s="62" t="e" cm="1">
        <f t="array" ref="S125">SUMPRODUCT(--(2031&gt;'2. Investicijos'!$F$5:$F$13),--(2031&lt;='2. Investicijos'!$F$5:$F$13+'2. Investicijos'!$G$5:$G$13),IFERROR(('2. Investicijos'!$M$5:$M$13+IF('2. Investicijos'!$N$5:$N$13&gt;('2. Investicijos'!$H$5:$H$13*IF('2. Investicijos'!$G$5:$G$13&lt;=35,30%,40%)),'2. Investicijos'!$N$5:$N$13-('2. Investicijos'!$H$5:$H$13*IF('2. Investicijos'!$G$5:$G$13&lt;=35,30%,40%)),0)+('2. Investicijos'!$H$5:$H$13*IF('2. Investicijos'!$G$5:$G$13&lt;=35,30%,40%)))/'2. Investicijos'!$G$5:$G$13,0))+SUMPRODUCT(--(2031&gt;'2. Investicijos'!$F$5:$F$13),--(2031&lt;='2. Investicijos'!$F$5:$F$13+'2. Investicijos'!$G$5:$G$13),IFERROR(('2. Investicijos'!$M$5:$M$13+IF('2. Investicijos'!$N$5:$N$13&gt;('2. Investicijos'!$H$5:$H$13*IF('2. Investicijos'!$G$5:$G$13&lt;=35,30%,40%)),'2. Investicijos'!$N$5:$N$13-('2. Investicijos'!$H$5:$H$13*IF('2. Investicijos'!$G$5:$G$13&lt;=35,30%,40%)),0))*(1-((2031-'2. Investicijos'!$F$5:$F$13)-1)/'2. Investicijos'!$G$5:$G$13),0)*'5. 0% scenarijus'!$C$5)</f>
        <v>#VALUE!</v>
      </c>
      <c r="T125" s="62" t="e">
        <f>'3. Finansinės prielaidos'!H29+S125+G125</f>
        <v>#VALUE!</v>
      </c>
      <c r="U125" s="62" t="e">
        <f t="shared" si="56"/>
        <v>#VALUE!</v>
      </c>
      <c r="V125" s="72" t="e">
        <f t="shared" si="57"/>
        <v>#VALUE!</v>
      </c>
      <c r="W125" s="72" t="e">
        <f t="shared" si="58"/>
        <v>#VALUE!</v>
      </c>
      <c r="X125" s="57" t="e">
        <f t="shared" si="59"/>
        <v>#VALUE!</v>
      </c>
      <c r="Y125" s="57" t="e">
        <f t="shared" si="60"/>
        <v>#VALUE!</v>
      </c>
      <c r="Z125" s="57"/>
      <c r="AA125" s="57"/>
      <c r="AB125" s="57"/>
      <c r="AC125" s="57"/>
      <c r="AD125" s="57"/>
      <c r="AE125" s="57"/>
      <c r="AF125" s="57"/>
      <c r="AG125" s="57"/>
      <c r="AH125" s="57"/>
      <c r="AI125" s="57"/>
      <c r="AJ125" s="57"/>
      <c r="AK125" s="57"/>
      <c r="AL125" s="57"/>
      <c r="AM125" s="57"/>
      <c r="AN125" s="57"/>
      <c r="AO125" s="57"/>
      <c r="AP125" s="57"/>
      <c r="AQ125" s="57"/>
      <c r="AR125" s="57"/>
      <c r="AS125" s="57"/>
    </row>
    <row r="126" spans="1:45">
      <c r="A126" s="57">
        <v>9</v>
      </c>
      <c r="B126" s="57">
        <v>2032</v>
      </c>
      <c r="C126" s="62">
        <f>SUM('4. Metinis CAPEX'!L$9:L$17)</f>
        <v>0</v>
      </c>
      <c r="D126" s="62" cm="1">
        <f t="array" ref="D126">SUMPRODUCT('4. Metinis CAPEX'!L$9:L$17,IFERROR('2. Investicijos'!$N$5:$N$13/'2. Investicijos'!$H$5:$H$13,0))</f>
        <v>0</v>
      </c>
      <c r="E126" s="62" cm="1">
        <f t="array" ref="E126">SUMPRODUCT('4. Metinis CAPEX'!L$9:L$17,IFERROR(('2. Investicijos'!$I$5:$I$13+'2. Investicijos'!$J$5:$J$13+'2. Investicijos'!$K$5:$K$13+'2. Investicijos'!$L$5:$L$13)/'2. Investicijos'!$H$5:$H$13,0))</f>
        <v>0</v>
      </c>
      <c r="F126" s="62" cm="1">
        <f t="array" ref="F126">SUM('2. Investicijos'!$H$5:$H$13*IF('2. Investicijos'!$G$5:$G$13&lt;=35,30%,40%))</f>
        <v>0</v>
      </c>
      <c r="G126" s="62" cm="1">
        <f t="array" ref="G126">IF(AND(2032&gt;=2026,2032&lt;2026+'6. Aprašo scenarijus'!$C$4),SUM('2. Investicijos'!$H$5:$H$13*IF('2. Investicijos'!$G$5:$G$13&lt;=35,30%,40%))/'6. Aprašo scenarijus'!$C$4,0)</f>
        <v>0</v>
      </c>
      <c r="H126" s="62">
        <f t="shared" si="54"/>
        <v>0</v>
      </c>
      <c r="I126" s="62">
        <f>SUM(L$5:L$13)</f>
        <v>0</v>
      </c>
      <c r="J126" s="62" t="e" cm="1">
        <f t="array" ref="J126">K126+L126+MAX(0,-R125)*IFERROR(SUMPRODUCT(IF('2. Investicijos'!$N$5:$N$13&gt;('2. Investicijos'!$H$5:$H$13*IF('2. Investicijos'!$G$5:$G$13&lt;=35,30%,40%)),'2. Investicijos'!$N$5:$N$13-('2. Investicijos'!$H$5:$H$13*IF('2. Investicijos'!$G$5:$G$13&lt;=35,30%,40%)),0),'2. Investicijos'!$O$5:$O$13/100)/SUM(IF('2. Investicijos'!$N$5:$N$13&gt;('2. Investicijos'!$H$5:$H$13*IF('2. Investicijos'!$G$5:$G$13&lt;=35,30%,40%)),'2. Investicijos'!$N$5:$N$13-('2. Investicijos'!$H$5:$H$13*IF('2. Investicijos'!$G$5:$G$13&lt;=35,30%,40%)),0)),0)</f>
        <v>#VALUE!</v>
      </c>
      <c r="K126" s="62">
        <f>SUM(AF$5:AF$13)</f>
        <v>0</v>
      </c>
      <c r="L126" s="62">
        <f>SUM(V$5:V$13)</f>
        <v>0</v>
      </c>
      <c r="M126" s="62">
        <f>SUM(AP$5:AP$13)</f>
        <v>0</v>
      </c>
      <c r="N126" s="62">
        <f>'3. Finansinės prielaidos'!I30+M126</f>
        <v>0</v>
      </c>
      <c r="O126" s="62">
        <f>'3. Finansinės prielaidos'!I31</f>
        <v>0</v>
      </c>
      <c r="P126" s="62">
        <f>'3. Finansinės prielaidos'!I32</f>
        <v>0</v>
      </c>
      <c r="Q126" s="62" t="e">
        <f t="shared" si="55"/>
        <v>#VALUE!</v>
      </c>
      <c r="R126" s="62" t="e">
        <f>R125+('3. Finansinės prielaidos'!I31-'3. Finansinės prielaidos'!H31)+Q126</f>
        <v>#VALUE!</v>
      </c>
      <c r="S126" s="62" t="e" cm="1">
        <f t="array" ref="S126">SUMPRODUCT(--(2032&gt;'2. Investicijos'!$F$5:$F$13),--(2032&lt;='2. Investicijos'!$F$5:$F$13+'2. Investicijos'!$G$5:$G$13),IFERROR(('2. Investicijos'!$M$5:$M$13+IF('2. Investicijos'!$N$5:$N$13&gt;('2. Investicijos'!$H$5:$H$13*IF('2. Investicijos'!$G$5:$G$13&lt;=35,30%,40%)),'2. Investicijos'!$N$5:$N$13-('2. Investicijos'!$H$5:$H$13*IF('2. Investicijos'!$G$5:$G$13&lt;=35,30%,40%)),0)+('2. Investicijos'!$H$5:$H$13*IF('2. Investicijos'!$G$5:$G$13&lt;=35,30%,40%)))/'2. Investicijos'!$G$5:$G$13,0))+SUMPRODUCT(--(2032&gt;'2. Investicijos'!$F$5:$F$13),--(2032&lt;='2. Investicijos'!$F$5:$F$13+'2. Investicijos'!$G$5:$G$13),IFERROR(('2. Investicijos'!$M$5:$M$13+IF('2. Investicijos'!$N$5:$N$13&gt;('2. Investicijos'!$H$5:$H$13*IF('2. Investicijos'!$G$5:$G$13&lt;=35,30%,40%)),'2. Investicijos'!$N$5:$N$13-('2. Investicijos'!$H$5:$H$13*IF('2. Investicijos'!$G$5:$G$13&lt;=35,30%,40%)),0))*(1-((2032-'2. Investicijos'!$F$5:$F$13)-1)/'2. Investicijos'!$G$5:$G$13),0)*'5. 0% scenarijus'!$C$5)</f>
        <v>#VALUE!</v>
      </c>
      <c r="T126" s="62" t="e">
        <f>'3. Finansinės prielaidos'!I29+S126+G126</f>
        <v>#VALUE!</v>
      </c>
      <c r="U126" s="62" t="e">
        <f t="shared" si="56"/>
        <v>#VALUE!</v>
      </c>
      <c r="V126" s="72" t="e">
        <f t="shared" si="57"/>
        <v>#VALUE!</v>
      </c>
      <c r="W126" s="72" t="e">
        <f t="shared" si="58"/>
        <v>#VALUE!</v>
      </c>
      <c r="X126" s="57" t="e">
        <f t="shared" si="59"/>
        <v>#VALUE!</v>
      </c>
      <c r="Y126" s="57" t="e">
        <f t="shared" si="60"/>
        <v>#VALUE!</v>
      </c>
      <c r="Z126" s="57"/>
      <c r="AA126" s="57"/>
      <c r="AB126" s="57"/>
      <c r="AC126" s="57"/>
      <c r="AD126" s="57"/>
      <c r="AE126" s="57"/>
      <c r="AF126" s="57"/>
      <c r="AG126" s="57"/>
      <c r="AH126" s="57"/>
      <c r="AI126" s="57"/>
      <c r="AJ126" s="57"/>
      <c r="AK126" s="57"/>
      <c r="AL126" s="57"/>
      <c r="AM126" s="57"/>
      <c r="AN126" s="57"/>
      <c r="AO126" s="57"/>
      <c r="AP126" s="57"/>
      <c r="AQ126" s="57"/>
      <c r="AR126" s="57"/>
      <c r="AS126" s="57"/>
    </row>
    <row r="127" spans="1:45">
      <c r="A127" s="57">
        <v>9</v>
      </c>
      <c r="B127" s="57">
        <v>2033</v>
      </c>
      <c r="C127" s="62">
        <f>SUM('4. Metinis CAPEX'!M$9:M$17)</f>
        <v>0</v>
      </c>
      <c r="D127" s="62" cm="1">
        <f t="array" ref="D127">SUMPRODUCT('4. Metinis CAPEX'!M$9:M$17,IFERROR('2. Investicijos'!$N$5:$N$13/'2. Investicijos'!$H$5:$H$13,0))</f>
        <v>0</v>
      </c>
      <c r="E127" s="62" cm="1">
        <f t="array" ref="E127">SUMPRODUCT('4. Metinis CAPEX'!M$9:M$17,IFERROR(('2. Investicijos'!$I$5:$I$13+'2. Investicijos'!$J$5:$J$13+'2. Investicijos'!$K$5:$K$13+'2. Investicijos'!$L$5:$L$13)/'2. Investicijos'!$H$5:$H$13,0))</f>
        <v>0</v>
      </c>
      <c r="F127" s="62" cm="1">
        <f t="array" ref="F127">SUM('2. Investicijos'!$H$5:$H$13*IF('2. Investicijos'!$G$5:$G$13&lt;=35,30%,40%))</f>
        <v>0</v>
      </c>
      <c r="G127" s="62" cm="1">
        <f t="array" ref="G127">IF(AND(2033&gt;=2026,2033&lt;2026+'6. Aprašo scenarijus'!$C$4),SUM('2. Investicijos'!$H$5:$H$13*IF('2. Investicijos'!$G$5:$G$13&lt;=35,30%,40%))/'6. Aprašo scenarijus'!$C$4,0)</f>
        <v>0</v>
      </c>
      <c r="H127" s="62">
        <f t="shared" si="54"/>
        <v>0</v>
      </c>
      <c r="I127" s="62">
        <f>SUM(M$5:M$13)</f>
        <v>0</v>
      </c>
      <c r="J127" s="62" t="e" cm="1">
        <f t="array" ref="J127">K127+L127+MAX(0,-R126)*IFERROR(SUMPRODUCT(IF('2. Investicijos'!$N$5:$N$13&gt;('2. Investicijos'!$H$5:$H$13*IF('2. Investicijos'!$G$5:$G$13&lt;=35,30%,40%)),'2. Investicijos'!$N$5:$N$13-('2. Investicijos'!$H$5:$H$13*IF('2. Investicijos'!$G$5:$G$13&lt;=35,30%,40%)),0),'2. Investicijos'!$O$5:$O$13/100)/SUM(IF('2. Investicijos'!$N$5:$N$13&gt;('2. Investicijos'!$H$5:$H$13*IF('2. Investicijos'!$G$5:$G$13&lt;=35,30%,40%)),'2. Investicijos'!$N$5:$N$13-('2. Investicijos'!$H$5:$H$13*IF('2. Investicijos'!$G$5:$G$13&lt;=35,30%,40%)),0)),0)</f>
        <v>#VALUE!</v>
      </c>
      <c r="K127" s="62">
        <f>SUM(AG$5:AG$13)</f>
        <v>0</v>
      </c>
      <c r="L127" s="62">
        <f>SUM(W$5:W$13)</f>
        <v>0</v>
      </c>
      <c r="M127" s="62">
        <f>SUM(AQ$5:AQ$13)</f>
        <v>0</v>
      </c>
      <c r="N127" s="62">
        <f>'3. Finansinės prielaidos'!J30+M127</f>
        <v>0</v>
      </c>
      <c r="O127" s="62">
        <f>'3. Finansinės prielaidos'!J31</f>
        <v>0</v>
      </c>
      <c r="P127" s="62">
        <f>'3. Finansinės prielaidos'!J32</f>
        <v>0</v>
      </c>
      <c r="Q127" s="62" t="e">
        <f t="shared" si="55"/>
        <v>#VALUE!</v>
      </c>
      <c r="R127" s="62" t="e">
        <f>R126+('3. Finansinės prielaidos'!J31-'3. Finansinės prielaidos'!I31)+Q127</f>
        <v>#VALUE!</v>
      </c>
      <c r="S127" s="62" t="e" cm="1">
        <f t="array" ref="S127">SUMPRODUCT(--(2033&gt;'2. Investicijos'!$F$5:$F$13),--(2033&lt;='2. Investicijos'!$F$5:$F$13+'2. Investicijos'!$G$5:$G$13),IFERROR(('2. Investicijos'!$M$5:$M$13+IF('2. Investicijos'!$N$5:$N$13&gt;('2. Investicijos'!$H$5:$H$13*IF('2. Investicijos'!$G$5:$G$13&lt;=35,30%,40%)),'2. Investicijos'!$N$5:$N$13-('2. Investicijos'!$H$5:$H$13*IF('2. Investicijos'!$G$5:$G$13&lt;=35,30%,40%)),0)+('2. Investicijos'!$H$5:$H$13*IF('2. Investicijos'!$G$5:$G$13&lt;=35,30%,40%)))/'2. Investicijos'!$G$5:$G$13,0))+SUMPRODUCT(--(2033&gt;'2. Investicijos'!$F$5:$F$13),--(2033&lt;='2. Investicijos'!$F$5:$F$13+'2. Investicijos'!$G$5:$G$13),IFERROR(('2. Investicijos'!$M$5:$M$13+IF('2. Investicijos'!$N$5:$N$13&gt;('2. Investicijos'!$H$5:$H$13*IF('2. Investicijos'!$G$5:$G$13&lt;=35,30%,40%)),'2. Investicijos'!$N$5:$N$13-('2. Investicijos'!$H$5:$H$13*IF('2. Investicijos'!$G$5:$G$13&lt;=35,30%,40%)),0))*(1-((2033-'2. Investicijos'!$F$5:$F$13)-1)/'2. Investicijos'!$G$5:$G$13),0)*'5. 0% scenarijus'!$C$5)</f>
        <v>#VALUE!</v>
      </c>
      <c r="T127" s="62" t="e">
        <f>'3. Finansinės prielaidos'!J29+S127+G127</f>
        <v>#VALUE!</v>
      </c>
      <c r="U127" s="62" t="e">
        <f t="shared" si="56"/>
        <v>#VALUE!</v>
      </c>
      <c r="V127" s="72" t="e">
        <f t="shared" si="57"/>
        <v>#VALUE!</v>
      </c>
      <c r="W127" s="72" t="e">
        <f t="shared" si="58"/>
        <v>#VALUE!</v>
      </c>
      <c r="X127" s="57" t="e">
        <f t="shared" si="59"/>
        <v>#VALUE!</v>
      </c>
      <c r="Y127" s="57" t="e">
        <f t="shared" si="60"/>
        <v>#VALUE!</v>
      </c>
      <c r="Z127" s="57"/>
      <c r="AA127" s="57"/>
      <c r="AB127" s="57"/>
      <c r="AC127" s="57"/>
      <c r="AD127" s="57"/>
      <c r="AE127" s="57"/>
      <c r="AF127" s="57"/>
      <c r="AG127" s="57"/>
      <c r="AH127" s="57"/>
      <c r="AI127" s="57"/>
      <c r="AJ127" s="57"/>
      <c r="AK127" s="57"/>
      <c r="AL127" s="57"/>
      <c r="AM127" s="57"/>
      <c r="AN127" s="57"/>
      <c r="AO127" s="57"/>
      <c r="AP127" s="57"/>
      <c r="AQ127" s="57"/>
      <c r="AR127" s="57"/>
      <c r="AS127" s="57"/>
    </row>
    <row r="128" spans="1:45">
      <c r="A128" s="57">
        <v>9</v>
      </c>
      <c r="B128" s="57">
        <v>2034</v>
      </c>
      <c r="C128" s="62">
        <f>SUM('4. Metinis CAPEX'!N$9:N$17)</f>
        <v>0</v>
      </c>
      <c r="D128" s="62" cm="1">
        <f t="array" ref="D128">SUMPRODUCT('4. Metinis CAPEX'!N$9:N$17,IFERROR('2. Investicijos'!$N$5:$N$13/'2. Investicijos'!$H$5:$H$13,0))</f>
        <v>0</v>
      </c>
      <c r="E128" s="62" cm="1">
        <f t="array" ref="E128">SUMPRODUCT('4. Metinis CAPEX'!N$9:N$17,IFERROR(('2. Investicijos'!$I$5:$I$13+'2. Investicijos'!$J$5:$J$13+'2. Investicijos'!$K$5:$K$13+'2. Investicijos'!$L$5:$L$13)/'2. Investicijos'!$H$5:$H$13,0))</f>
        <v>0</v>
      </c>
      <c r="F128" s="62" cm="1">
        <f t="array" ref="F128">SUM('2. Investicijos'!$H$5:$H$13*IF('2. Investicijos'!$G$5:$G$13&lt;=35,30%,40%))</f>
        <v>0</v>
      </c>
      <c r="G128" s="62" cm="1">
        <f t="array" ref="G128">IF(AND(2034&gt;=2026,2034&lt;2026+'6. Aprašo scenarijus'!$C$4),SUM('2. Investicijos'!$H$5:$H$13*IF('2. Investicijos'!$G$5:$G$13&lt;=35,30%,40%))/'6. Aprašo scenarijus'!$C$4,0)</f>
        <v>0</v>
      </c>
      <c r="H128" s="62">
        <f t="shared" si="54"/>
        <v>0</v>
      </c>
      <c r="I128" s="62">
        <f>SUM(N$5:N$13)</f>
        <v>0</v>
      </c>
      <c r="J128" s="62" t="e" cm="1">
        <f t="array" ref="J128">K128+L128+MAX(0,-R127)*IFERROR(SUMPRODUCT(IF('2. Investicijos'!$N$5:$N$13&gt;('2. Investicijos'!$H$5:$H$13*IF('2. Investicijos'!$G$5:$G$13&lt;=35,30%,40%)),'2. Investicijos'!$N$5:$N$13-('2. Investicijos'!$H$5:$H$13*IF('2. Investicijos'!$G$5:$G$13&lt;=35,30%,40%)),0),'2. Investicijos'!$O$5:$O$13/100)/SUM(IF('2. Investicijos'!$N$5:$N$13&gt;('2. Investicijos'!$H$5:$H$13*IF('2. Investicijos'!$G$5:$G$13&lt;=35,30%,40%)),'2. Investicijos'!$N$5:$N$13-('2. Investicijos'!$H$5:$H$13*IF('2. Investicijos'!$G$5:$G$13&lt;=35,30%,40%)),0)),0)</f>
        <v>#VALUE!</v>
      </c>
      <c r="K128" s="62">
        <f>SUM(AH$5:AH$13)</f>
        <v>0</v>
      </c>
      <c r="L128" s="62">
        <f>SUM(X$5:X$13)</f>
        <v>0</v>
      </c>
      <c r="M128" s="62">
        <f>SUM(AR$5:AR$13)</f>
        <v>0</v>
      </c>
      <c r="N128" s="62">
        <f>'3. Finansinės prielaidos'!K30+M128</f>
        <v>0</v>
      </c>
      <c r="O128" s="62">
        <f>'3. Finansinės prielaidos'!K31</f>
        <v>0</v>
      </c>
      <c r="P128" s="62">
        <f>'3. Finansinės prielaidos'!K32</f>
        <v>0</v>
      </c>
      <c r="Q128" s="62" t="e">
        <f t="shared" si="55"/>
        <v>#VALUE!</v>
      </c>
      <c r="R128" s="62" t="e">
        <f>R127+('3. Finansinės prielaidos'!K31-'3. Finansinės prielaidos'!J31)+Q128</f>
        <v>#VALUE!</v>
      </c>
      <c r="S128" s="62" t="e" cm="1">
        <f t="array" ref="S128">SUMPRODUCT(--(2034&gt;'2. Investicijos'!$F$5:$F$13),--(2034&lt;='2. Investicijos'!$F$5:$F$13+'2. Investicijos'!$G$5:$G$13),IFERROR(('2. Investicijos'!$M$5:$M$13+IF('2. Investicijos'!$N$5:$N$13&gt;('2. Investicijos'!$H$5:$H$13*IF('2. Investicijos'!$G$5:$G$13&lt;=35,30%,40%)),'2. Investicijos'!$N$5:$N$13-('2. Investicijos'!$H$5:$H$13*IF('2. Investicijos'!$G$5:$G$13&lt;=35,30%,40%)),0)+('2. Investicijos'!$H$5:$H$13*IF('2. Investicijos'!$G$5:$G$13&lt;=35,30%,40%)))/'2. Investicijos'!$G$5:$G$13,0))+SUMPRODUCT(--(2034&gt;'2. Investicijos'!$F$5:$F$13),--(2034&lt;='2. Investicijos'!$F$5:$F$13+'2. Investicijos'!$G$5:$G$13),IFERROR(('2. Investicijos'!$M$5:$M$13+IF('2. Investicijos'!$N$5:$N$13&gt;('2. Investicijos'!$H$5:$H$13*IF('2. Investicijos'!$G$5:$G$13&lt;=35,30%,40%)),'2. Investicijos'!$N$5:$N$13-('2. Investicijos'!$H$5:$H$13*IF('2. Investicijos'!$G$5:$G$13&lt;=35,30%,40%)),0))*(1-((2034-'2. Investicijos'!$F$5:$F$13)-1)/'2. Investicijos'!$G$5:$G$13),0)*'5. 0% scenarijus'!$C$5)</f>
        <v>#VALUE!</v>
      </c>
      <c r="T128" s="62" t="e">
        <f>'3. Finansinės prielaidos'!K29+S128+G128</f>
        <v>#VALUE!</v>
      </c>
      <c r="U128" s="62" t="e">
        <f t="shared" si="56"/>
        <v>#VALUE!</v>
      </c>
      <c r="V128" s="72" t="e">
        <f t="shared" si="57"/>
        <v>#VALUE!</v>
      </c>
      <c r="W128" s="72" t="e">
        <f t="shared" si="58"/>
        <v>#VALUE!</v>
      </c>
      <c r="X128" s="57" t="e">
        <f t="shared" si="59"/>
        <v>#VALUE!</v>
      </c>
      <c r="Y128" s="57" t="e">
        <f t="shared" si="60"/>
        <v>#VALUE!</v>
      </c>
      <c r="Z128" s="57"/>
      <c r="AA128" s="57"/>
      <c r="AB128" s="57"/>
      <c r="AC128" s="57"/>
      <c r="AD128" s="57"/>
      <c r="AE128" s="57"/>
      <c r="AF128" s="57"/>
      <c r="AG128" s="57"/>
      <c r="AH128" s="57"/>
      <c r="AI128" s="57"/>
      <c r="AJ128" s="57"/>
      <c r="AK128" s="57"/>
      <c r="AL128" s="57"/>
      <c r="AM128" s="57"/>
      <c r="AN128" s="57"/>
      <c r="AO128" s="57"/>
      <c r="AP128" s="57"/>
      <c r="AQ128" s="57"/>
      <c r="AR128" s="57"/>
      <c r="AS128" s="57"/>
    </row>
    <row r="129" spans="1:45">
      <c r="A129" s="57">
        <v>9</v>
      </c>
      <c r="B129" s="57">
        <v>2035</v>
      </c>
      <c r="C129" s="62">
        <f>SUM('4. Metinis CAPEX'!O$9:O$17)</f>
        <v>0</v>
      </c>
      <c r="D129" s="62" cm="1">
        <f t="array" ref="D129">SUMPRODUCT('4. Metinis CAPEX'!O$9:O$17,IFERROR('2. Investicijos'!$N$5:$N$13/'2. Investicijos'!$H$5:$H$13,0))</f>
        <v>0</v>
      </c>
      <c r="E129" s="62" cm="1">
        <f t="array" ref="E129">SUMPRODUCT('4. Metinis CAPEX'!O$9:O$17,IFERROR(('2. Investicijos'!$I$5:$I$13+'2. Investicijos'!$J$5:$J$13+'2. Investicijos'!$K$5:$K$13+'2. Investicijos'!$L$5:$L$13)/'2. Investicijos'!$H$5:$H$13,0))</f>
        <v>0</v>
      </c>
      <c r="F129" s="62" cm="1">
        <f t="array" ref="F129">SUM('2. Investicijos'!$H$5:$H$13*IF('2. Investicijos'!$G$5:$G$13&lt;=35,30%,40%))</f>
        <v>0</v>
      </c>
      <c r="G129" s="62" cm="1">
        <f t="array" ref="G129">IF(AND(2035&gt;=2026,2035&lt;2026+'6. Aprašo scenarijus'!$C$4),SUM('2. Investicijos'!$H$5:$H$13*IF('2. Investicijos'!$G$5:$G$13&lt;=35,30%,40%))/'6. Aprašo scenarijus'!$C$4,0)</f>
        <v>0</v>
      </c>
      <c r="H129" s="62">
        <f t="shared" si="54"/>
        <v>0</v>
      </c>
      <c r="I129" s="62">
        <f>SUM(O$5:O$13)</f>
        <v>0</v>
      </c>
      <c r="J129" s="62" t="e" cm="1">
        <f t="array" ref="J129">K129+L129+MAX(0,-R128)*IFERROR(SUMPRODUCT(IF('2. Investicijos'!$N$5:$N$13&gt;('2. Investicijos'!$H$5:$H$13*IF('2. Investicijos'!$G$5:$G$13&lt;=35,30%,40%)),'2. Investicijos'!$N$5:$N$13-('2. Investicijos'!$H$5:$H$13*IF('2. Investicijos'!$G$5:$G$13&lt;=35,30%,40%)),0),'2. Investicijos'!$O$5:$O$13/100)/SUM(IF('2. Investicijos'!$N$5:$N$13&gt;('2. Investicijos'!$H$5:$H$13*IF('2. Investicijos'!$G$5:$G$13&lt;=35,30%,40%)),'2. Investicijos'!$N$5:$N$13-('2. Investicijos'!$H$5:$H$13*IF('2. Investicijos'!$G$5:$G$13&lt;=35,30%,40%)),0)),0)</f>
        <v>#VALUE!</v>
      </c>
      <c r="K129" s="62">
        <f>SUM(AI$5:AI$13)</f>
        <v>0</v>
      </c>
      <c r="L129" s="62">
        <f>SUM(Y$5:Y$13)</f>
        <v>0</v>
      </c>
      <c r="M129" s="62">
        <f>SUM(AS$5:AS$13)</f>
        <v>0</v>
      </c>
      <c r="N129" s="62">
        <f>'3. Finansinės prielaidos'!L30+M129</f>
        <v>0</v>
      </c>
      <c r="O129" s="62">
        <f>'3. Finansinės prielaidos'!L31</f>
        <v>0</v>
      </c>
      <c r="P129" s="62">
        <f>'3. Finansinės prielaidos'!L32</f>
        <v>0</v>
      </c>
      <c r="Q129" s="62" t="e">
        <f t="shared" si="55"/>
        <v>#VALUE!</v>
      </c>
      <c r="R129" s="62" t="e">
        <f>R128+('3. Finansinės prielaidos'!L31-'3. Finansinės prielaidos'!K31)+Q129</f>
        <v>#VALUE!</v>
      </c>
      <c r="S129" s="62" t="e" cm="1">
        <f t="array" ref="S129">SUMPRODUCT(--(2035&gt;'2. Investicijos'!$F$5:$F$13),--(2035&lt;='2. Investicijos'!$F$5:$F$13+'2. Investicijos'!$G$5:$G$13),IFERROR(('2. Investicijos'!$M$5:$M$13+IF('2. Investicijos'!$N$5:$N$13&gt;('2. Investicijos'!$H$5:$H$13*IF('2. Investicijos'!$G$5:$G$13&lt;=35,30%,40%)),'2. Investicijos'!$N$5:$N$13-('2. Investicijos'!$H$5:$H$13*IF('2. Investicijos'!$G$5:$G$13&lt;=35,30%,40%)),0)+('2. Investicijos'!$H$5:$H$13*IF('2. Investicijos'!$G$5:$G$13&lt;=35,30%,40%)))/'2. Investicijos'!$G$5:$G$13,0))+SUMPRODUCT(--(2035&gt;'2. Investicijos'!$F$5:$F$13),--(2035&lt;='2. Investicijos'!$F$5:$F$13+'2. Investicijos'!$G$5:$G$13),IFERROR(('2. Investicijos'!$M$5:$M$13+IF('2. Investicijos'!$N$5:$N$13&gt;('2. Investicijos'!$H$5:$H$13*IF('2. Investicijos'!$G$5:$G$13&lt;=35,30%,40%)),'2. Investicijos'!$N$5:$N$13-('2. Investicijos'!$H$5:$H$13*IF('2. Investicijos'!$G$5:$G$13&lt;=35,30%,40%)),0))*(1-((2035-'2. Investicijos'!$F$5:$F$13)-1)/'2. Investicijos'!$G$5:$G$13),0)*'5. 0% scenarijus'!$C$5)</f>
        <v>#VALUE!</v>
      </c>
      <c r="T129" s="62" t="e">
        <f>'3. Finansinės prielaidos'!L29+S129+G129</f>
        <v>#VALUE!</v>
      </c>
      <c r="U129" s="62" t="e">
        <f t="shared" si="56"/>
        <v>#VALUE!</v>
      </c>
      <c r="V129" s="72" t="e">
        <f t="shared" si="57"/>
        <v>#VALUE!</v>
      </c>
      <c r="W129" s="72" t="e">
        <f t="shared" si="58"/>
        <v>#VALUE!</v>
      </c>
      <c r="X129" s="57" t="e">
        <f t="shared" si="59"/>
        <v>#VALUE!</v>
      </c>
      <c r="Y129" s="57" t="e">
        <f t="shared" si="60"/>
        <v>#VALUE!</v>
      </c>
      <c r="Z129" s="57"/>
      <c r="AA129" s="57"/>
      <c r="AB129" s="57"/>
      <c r="AC129" s="57"/>
      <c r="AD129" s="57"/>
      <c r="AE129" s="57"/>
      <c r="AF129" s="57"/>
      <c r="AG129" s="57"/>
      <c r="AH129" s="57"/>
      <c r="AI129" s="57"/>
      <c r="AJ129" s="57"/>
      <c r="AK129" s="57"/>
      <c r="AL129" s="57"/>
      <c r="AM129" s="57"/>
      <c r="AN129" s="57"/>
      <c r="AO129" s="57"/>
      <c r="AP129" s="57"/>
      <c r="AQ129" s="57"/>
      <c r="AR129" s="57"/>
      <c r="AS129" s="57"/>
    </row>
    <row r="130" spans="1:45">
      <c r="A130" s="57">
        <v>10</v>
      </c>
      <c r="B130" s="57">
        <v>2026</v>
      </c>
      <c r="C130" s="62">
        <f>SUM('4. Metinis CAPEX'!F$9:F$18)</f>
        <v>0</v>
      </c>
      <c r="D130" s="62" cm="1">
        <f t="array" ref="D130">SUMPRODUCT('4. Metinis CAPEX'!F$9:F$18,IFERROR('2. Investicijos'!$N$5:$N$14/'2. Investicijos'!$H$5:$H$14,0))</f>
        <v>0</v>
      </c>
      <c r="E130" s="62" cm="1">
        <f t="array" ref="E130">SUMPRODUCT('4. Metinis CAPEX'!F$9:F$18,IFERROR(('2. Investicijos'!$I$5:$I$14+'2. Investicijos'!$J$5:$J$14+'2. Investicijos'!$K$5:$K$14+'2. Investicijos'!$L$5:$L$14)/'2. Investicijos'!$H$5:$H$14,0))</f>
        <v>0</v>
      </c>
      <c r="F130" s="62" cm="1">
        <f t="array" ref="F130">SUM('2. Investicijos'!$H$5:$H$14*IF('2. Investicijos'!$G$5:$G$14&lt;=35,30%,40%))</f>
        <v>0</v>
      </c>
      <c r="G130" s="62" cm="1">
        <f t="array" ref="G130">IF(AND(2026&gt;=2026,2026&lt;2026+'6. Aprašo scenarijus'!$C$4),SUM('2. Investicijos'!$H$5:$H$14*IF('2. Investicijos'!$G$5:$G$14&lt;=35,30%,40%))/'6. Aprašo scenarijus'!$C$4,0)</f>
        <v>0</v>
      </c>
      <c r="H130" s="62">
        <f t="shared" si="54"/>
        <v>0</v>
      </c>
      <c r="I130" s="62">
        <f>SUM(F$5:F$14)</f>
        <v>0</v>
      </c>
      <c r="J130" s="62">
        <f>0</f>
        <v>0</v>
      </c>
      <c r="K130" s="62">
        <f>SUM(Z$5:Z$14)</f>
        <v>0</v>
      </c>
      <c r="L130" s="62">
        <f>SUM(P$5:P$14)</f>
        <v>0</v>
      </c>
      <c r="M130" s="62">
        <f>SUM(AJ$5:AJ$14)</f>
        <v>0</v>
      </c>
      <c r="N130" s="62">
        <f>'3. Finansinės prielaidos'!C30+M130</f>
        <v>0</v>
      </c>
      <c r="O130" s="62">
        <f>'3. Finansinės prielaidos'!C31</f>
        <v>0</v>
      </c>
      <c r="P130" s="62">
        <f>'3. Finansinės prielaidos'!C32</f>
        <v>0</v>
      </c>
      <c r="Q130" s="62" t="e">
        <f t="shared" si="55"/>
        <v>#VALUE!</v>
      </c>
      <c r="R130" s="62" t="e">
        <f>O130+Q130</f>
        <v>#VALUE!</v>
      </c>
      <c r="S130" s="62" t="e" cm="1">
        <f t="array" ref="S130">SUMPRODUCT(--(2026&gt;'2. Investicijos'!$F$5:$F$14),--(2026&lt;='2. Investicijos'!$F$5:$F$14+'2. Investicijos'!$G$5:$G$14),IFERROR(('2. Investicijos'!$M$5:$M$14+IF('2. Investicijos'!$N$5:$N$14&gt;('2. Investicijos'!$H$5:$H$14*IF('2. Investicijos'!$G$5:$G$14&lt;=35,30%,40%)),'2. Investicijos'!$N$5:$N$14-('2. Investicijos'!$H$5:$H$14*IF('2. Investicijos'!$G$5:$G$14&lt;=35,30%,40%)),0)+('2. Investicijos'!$H$5:$H$14*IF('2. Investicijos'!$G$5:$G$14&lt;=35,30%,40%)))/'2. Investicijos'!$G$5:$G$14,0))+SUMPRODUCT(--(2026&gt;'2. Investicijos'!$F$5:$F$14),--(2026&lt;='2. Investicijos'!$F$5:$F$14+'2. Investicijos'!$G$5:$G$14),IFERROR(('2. Investicijos'!$M$5:$M$14+IF('2. Investicijos'!$N$5:$N$14&gt;('2. Investicijos'!$H$5:$H$14*IF('2. Investicijos'!$G$5:$G$14&lt;=35,30%,40%)),'2. Investicijos'!$N$5:$N$14-('2. Investicijos'!$H$5:$H$14*IF('2. Investicijos'!$G$5:$G$14&lt;=35,30%,40%)),0))*(1-((2026-'2. Investicijos'!$F$5:$F$14)-1)/'2. Investicijos'!$G$5:$G$14),0)*'5. 0% scenarijus'!$C$5)</f>
        <v>#VALUE!</v>
      </c>
      <c r="T130" s="62" t="e">
        <f>'3. Finansinės prielaidos'!C29+S130+G130</f>
        <v>#VALUE!</v>
      </c>
      <c r="U130" s="62" t="e">
        <f t="shared" si="56"/>
        <v>#VALUE!</v>
      </c>
      <c r="V130" s="72" t="e">
        <f t="shared" si="57"/>
        <v>#VALUE!</v>
      </c>
      <c r="W130" s="72" t="e">
        <f t="shared" si="58"/>
        <v>#VALUE!</v>
      </c>
      <c r="X130" s="57" t="e">
        <f t="shared" si="59"/>
        <v>#VALUE!</v>
      </c>
      <c r="Y130" s="57" t="e">
        <f t="shared" si="60"/>
        <v>#VALUE!</v>
      </c>
      <c r="Z130" s="57"/>
      <c r="AA130" s="57"/>
      <c r="AB130" s="57"/>
      <c r="AC130" s="57"/>
      <c r="AD130" s="57"/>
      <c r="AE130" s="57"/>
      <c r="AF130" s="57"/>
      <c r="AG130" s="57"/>
      <c r="AH130" s="57"/>
      <c r="AI130" s="57"/>
      <c r="AJ130" s="57"/>
      <c r="AK130" s="57"/>
      <c r="AL130" s="57"/>
      <c r="AM130" s="57"/>
      <c r="AN130" s="57"/>
      <c r="AO130" s="57"/>
      <c r="AP130" s="57"/>
      <c r="AQ130" s="57"/>
      <c r="AR130" s="57"/>
      <c r="AS130" s="57"/>
    </row>
    <row r="131" spans="1:45">
      <c r="A131" s="57">
        <v>10</v>
      </c>
      <c r="B131" s="57">
        <v>2027</v>
      </c>
      <c r="C131" s="62">
        <f>SUM('4. Metinis CAPEX'!G$9:G$18)</f>
        <v>0</v>
      </c>
      <c r="D131" s="62" cm="1">
        <f t="array" ref="D131">SUMPRODUCT('4. Metinis CAPEX'!G$9:G$18,IFERROR('2. Investicijos'!$N$5:$N$14/'2. Investicijos'!$H$5:$H$14,0))</f>
        <v>0</v>
      </c>
      <c r="E131" s="62" cm="1">
        <f t="array" ref="E131">SUMPRODUCT('4. Metinis CAPEX'!G$9:G$18,IFERROR(('2. Investicijos'!$I$5:$I$14+'2. Investicijos'!$J$5:$J$14+'2. Investicijos'!$K$5:$K$14+'2. Investicijos'!$L$5:$L$14)/'2. Investicijos'!$H$5:$H$14,0))</f>
        <v>0</v>
      </c>
      <c r="F131" s="62" cm="1">
        <f t="array" ref="F131">SUM('2. Investicijos'!$H$5:$H$14*IF('2. Investicijos'!$G$5:$G$14&lt;=35,30%,40%))</f>
        <v>0</v>
      </c>
      <c r="G131" s="62" cm="1">
        <f t="array" ref="G131">IF(AND(2027&gt;=2026,2027&lt;2026+'6. Aprašo scenarijus'!$C$4),SUM('2. Investicijos'!$H$5:$H$14*IF('2. Investicijos'!$G$5:$G$14&lt;=35,30%,40%))/'6. Aprašo scenarijus'!$C$4,0)</f>
        <v>0</v>
      </c>
      <c r="H131" s="62">
        <f t="shared" si="54"/>
        <v>0</v>
      </c>
      <c r="I131" s="62">
        <f>SUM(G$5:G$14)</f>
        <v>0</v>
      </c>
      <c r="J131" s="62" t="e" cm="1">
        <f t="array" ref="J131">K131+L131+MAX(0,-R130)*IFERROR(SUMPRODUCT(IF('2. Investicijos'!$N$5:$N$14&gt;('2. Investicijos'!$H$5:$H$14*IF('2. Investicijos'!$G$5:$G$14&lt;=35,30%,40%)),'2. Investicijos'!$N$5:$N$14-('2. Investicijos'!$H$5:$H$14*IF('2. Investicijos'!$G$5:$G$14&lt;=35,30%,40%)),0),'2. Investicijos'!$O$5:$O$14/100)/SUM(IF('2. Investicijos'!$N$5:$N$14&gt;('2. Investicijos'!$H$5:$H$14*IF('2. Investicijos'!$G$5:$G$14&lt;=35,30%,40%)),'2. Investicijos'!$N$5:$N$14-('2. Investicijos'!$H$5:$H$14*IF('2. Investicijos'!$G$5:$G$14&lt;=35,30%,40%)),0)),0)</f>
        <v>#VALUE!</v>
      </c>
      <c r="K131" s="62">
        <f>SUM(AA$5:AA$14)</f>
        <v>0</v>
      </c>
      <c r="L131" s="62">
        <f>SUM(Q$5:Q$14)</f>
        <v>0</v>
      </c>
      <c r="M131" s="62">
        <f>SUM(AK$5:AK$14)</f>
        <v>0</v>
      </c>
      <c r="N131" s="62">
        <f>'3. Finansinės prielaidos'!D30+M131</f>
        <v>0</v>
      </c>
      <c r="O131" s="62">
        <f>'3. Finansinės prielaidos'!D31</f>
        <v>0</v>
      </c>
      <c r="P131" s="62">
        <f>'3. Finansinės prielaidos'!D32</f>
        <v>0</v>
      </c>
      <c r="Q131" s="62" t="e">
        <f t="shared" si="55"/>
        <v>#VALUE!</v>
      </c>
      <c r="R131" s="62" t="e">
        <f>R130+('3. Finansinės prielaidos'!D31-'3. Finansinės prielaidos'!C31)+Q131</f>
        <v>#VALUE!</v>
      </c>
      <c r="S131" s="62" t="e" cm="1">
        <f t="array" ref="S131">SUMPRODUCT(--(2027&gt;'2. Investicijos'!$F$5:$F$14),--(2027&lt;='2. Investicijos'!$F$5:$F$14+'2. Investicijos'!$G$5:$G$14),IFERROR(('2. Investicijos'!$M$5:$M$14+IF('2. Investicijos'!$N$5:$N$14&gt;('2. Investicijos'!$H$5:$H$14*IF('2. Investicijos'!$G$5:$G$14&lt;=35,30%,40%)),'2. Investicijos'!$N$5:$N$14-('2. Investicijos'!$H$5:$H$14*IF('2. Investicijos'!$G$5:$G$14&lt;=35,30%,40%)),0)+('2. Investicijos'!$H$5:$H$14*IF('2. Investicijos'!$G$5:$G$14&lt;=35,30%,40%)))/'2. Investicijos'!$G$5:$G$14,0))+SUMPRODUCT(--(2027&gt;'2. Investicijos'!$F$5:$F$14),--(2027&lt;='2. Investicijos'!$F$5:$F$14+'2. Investicijos'!$G$5:$G$14),IFERROR(('2. Investicijos'!$M$5:$M$14+IF('2. Investicijos'!$N$5:$N$14&gt;('2. Investicijos'!$H$5:$H$14*IF('2. Investicijos'!$G$5:$G$14&lt;=35,30%,40%)),'2. Investicijos'!$N$5:$N$14-('2. Investicijos'!$H$5:$H$14*IF('2. Investicijos'!$G$5:$G$14&lt;=35,30%,40%)),0))*(1-((2027-'2. Investicijos'!$F$5:$F$14)-1)/'2. Investicijos'!$G$5:$G$14),0)*'5. 0% scenarijus'!$C$5)</f>
        <v>#VALUE!</v>
      </c>
      <c r="T131" s="62" t="e">
        <f>'3. Finansinės prielaidos'!D29+S131+G131</f>
        <v>#VALUE!</v>
      </c>
      <c r="U131" s="62" t="e">
        <f t="shared" si="56"/>
        <v>#VALUE!</v>
      </c>
      <c r="V131" s="72" t="e">
        <f t="shared" si="57"/>
        <v>#VALUE!</v>
      </c>
      <c r="W131" s="72" t="e">
        <f t="shared" si="58"/>
        <v>#VALUE!</v>
      </c>
      <c r="X131" s="57" t="e">
        <f t="shared" si="59"/>
        <v>#VALUE!</v>
      </c>
      <c r="Y131" s="57" t="e">
        <f t="shared" si="60"/>
        <v>#VALUE!</v>
      </c>
      <c r="Z131" s="57"/>
      <c r="AA131" s="57"/>
      <c r="AB131" s="57"/>
      <c r="AC131" s="57"/>
      <c r="AD131" s="57"/>
      <c r="AE131" s="57"/>
      <c r="AF131" s="57"/>
      <c r="AG131" s="57"/>
      <c r="AH131" s="57"/>
      <c r="AI131" s="57"/>
      <c r="AJ131" s="57"/>
      <c r="AK131" s="57"/>
      <c r="AL131" s="57"/>
      <c r="AM131" s="57"/>
      <c r="AN131" s="57"/>
      <c r="AO131" s="57"/>
      <c r="AP131" s="57"/>
      <c r="AQ131" s="57"/>
      <c r="AR131" s="57"/>
      <c r="AS131" s="57"/>
    </row>
    <row r="132" spans="1:45">
      <c r="A132" s="57">
        <v>10</v>
      </c>
      <c r="B132" s="57">
        <v>2028</v>
      </c>
      <c r="C132" s="62">
        <f>SUM('4. Metinis CAPEX'!H$9:H$18)</f>
        <v>0</v>
      </c>
      <c r="D132" s="62" cm="1">
        <f t="array" ref="D132">SUMPRODUCT('4. Metinis CAPEX'!H$9:H$18,IFERROR('2. Investicijos'!$N$5:$N$14/'2. Investicijos'!$H$5:$H$14,0))</f>
        <v>0</v>
      </c>
      <c r="E132" s="62" cm="1">
        <f t="array" ref="E132">SUMPRODUCT('4. Metinis CAPEX'!H$9:H$18,IFERROR(('2. Investicijos'!$I$5:$I$14+'2. Investicijos'!$J$5:$J$14+'2. Investicijos'!$K$5:$K$14+'2. Investicijos'!$L$5:$L$14)/'2. Investicijos'!$H$5:$H$14,0))</f>
        <v>0</v>
      </c>
      <c r="F132" s="62" cm="1">
        <f t="array" ref="F132">SUM('2. Investicijos'!$H$5:$H$14*IF('2. Investicijos'!$G$5:$G$14&lt;=35,30%,40%))</f>
        <v>0</v>
      </c>
      <c r="G132" s="62" cm="1">
        <f t="array" ref="G132">IF(AND(2028&gt;=2026,2028&lt;2026+'6. Aprašo scenarijus'!$C$4),SUM('2. Investicijos'!$H$5:$H$14*IF('2. Investicijos'!$G$5:$G$14&lt;=35,30%,40%))/'6. Aprašo scenarijus'!$C$4,0)</f>
        <v>0</v>
      </c>
      <c r="H132" s="62">
        <f t="shared" si="54"/>
        <v>0</v>
      </c>
      <c r="I132" s="62">
        <f>SUM(H$5:H$14)</f>
        <v>0</v>
      </c>
      <c r="J132" s="62" t="e" cm="1">
        <f t="array" ref="J132">K132+L132+MAX(0,-R131)*IFERROR(SUMPRODUCT(IF('2. Investicijos'!$N$5:$N$14&gt;('2. Investicijos'!$H$5:$H$14*IF('2. Investicijos'!$G$5:$G$14&lt;=35,30%,40%)),'2. Investicijos'!$N$5:$N$14-('2. Investicijos'!$H$5:$H$14*IF('2. Investicijos'!$G$5:$G$14&lt;=35,30%,40%)),0),'2. Investicijos'!$O$5:$O$14/100)/SUM(IF('2. Investicijos'!$N$5:$N$14&gt;('2. Investicijos'!$H$5:$H$14*IF('2. Investicijos'!$G$5:$G$14&lt;=35,30%,40%)),'2. Investicijos'!$N$5:$N$14-('2. Investicijos'!$H$5:$H$14*IF('2. Investicijos'!$G$5:$G$14&lt;=35,30%,40%)),0)),0)</f>
        <v>#VALUE!</v>
      </c>
      <c r="K132" s="62">
        <f>SUM(AB$5:AB$14)</f>
        <v>0</v>
      </c>
      <c r="L132" s="62">
        <f>SUM(R$5:R$14)</f>
        <v>0</v>
      </c>
      <c r="M132" s="62">
        <f>SUM(AL$5:AL$14)</f>
        <v>0</v>
      </c>
      <c r="N132" s="62">
        <f>'3. Finansinės prielaidos'!E30+M132</f>
        <v>0</v>
      </c>
      <c r="O132" s="62">
        <f>'3. Finansinės prielaidos'!E31</f>
        <v>0</v>
      </c>
      <c r="P132" s="62">
        <f>'3. Finansinės prielaidos'!E32</f>
        <v>0</v>
      </c>
      <c r="Q132" s="62" t="e">
        <f t="shared" si="55"/>
        <v>#VALUE!</v>
      </c>
      <c r="R132" s="62" t="e">
        <f>R131+('3. Finansinės prielaidos'!E31-'3. Finansinės prielaidos'!D31)+Q132</f>
        <v>#VALUE!</v>
      </c>
      <c r="S132" s="62" t="e" cm="1">
        <f t="array" ref="S132">SUMPRODUCT(--(2028&gt;'2. Investicijos'!$F$5:$F$14),--(2028&lt;='2. Investicijos'!$F$5:$F$14+'2. Investicijos'!$G$5:$G$14),IFERROR(('2. Investicijos'!$M$5:$M$14+IF('2. Investicijos'!$N$5:$N$14&gt;('2. Investicijos'!$H$5:$H$14*IF('2. Investicijos'!$G$5:$G$14&lt;=35,30%,40%)),'2. Investicijos'!$N$5:$N$14-('2. Investicijos'!$H$5:$H$14*IF('2. Investicijos'!$G$5:$G$14&lt;=35,30%,40%)),0)+('2. Investicijos'!$H$5:$H$14*IF('2. Investicijos'!$G$5:$G$14&lt;=35,30%,40%)))/'2. Investicijos'!$G$5:$G$14,0))+SUMPRODUCT(--(2028&gt;'2. Investicijos'!$F$5:$F$14),--(2028&lt;='2. Investicijos'!$F$5:$F$14+'2. Investicijos'!$G$5:$G$14),IFERROR(('2. Investicijos'!$M$5:$M$14+IF('2. Investicijos'!$N$5:$N$14&gt;('2. Investicijos'!$H$5:$H$14*IF('2. Investicijos'!$G$5:$G$14&lt;=35,30%,40%)),'2. Investicijos'!$N$5:$N$14-('2. Investicijos'!$H$5:$H$14*IF('2. Investicijos'!$G$5:$G$14&lt;=35,30%,40%)),0))*(1-((2028-'2. Investicijos'!$F$5:$F$14)-1)/'2. Investicijos'!$G$5:$G$14),0)*'5. 0% scenarijus'!$C$5)</f>
        <v>#VALUE!</v>
      </c>
      <c r="T132" s="62" t="e">
        <f>'3. Finansinės prielaidos'!E29+S132+G132</f>
        <v>#VALUE!</v>
      </c>
      <c r="U132" s="62" t="e">
        <f t="shared" si="56"/>
        <v>#VALUE!</v>
      </c>
      <c r="V132" s="72" t="e">
        <f t="shared" si="57"/>
        <v>#VALUE!</v>
      </c>
      <c r="W132" s="72" t="e">
        <f t="shared" si="58"/>
        <v>#VALUE!</v>
      </c>
      <c r="X132" s="57" t="e">
        <f t="shared" si="59"/>
        <v>#VALUE!</v>
      </c>
      <c r="Y132" s="57" t="e">
        <f t="shared" si="60"/>
        <v>#VALUE!</v>
      </c>
      <c r="Z132" s="57"/>
      <c r="AA132" s="57"/>
      <c r="AB132" s="57"/>
      <c r="AC132" s="57"/>
      <c r="AD132" s="57"/>
      <c r="AE132" s="57"/>
      <c r="AF132" s="57"/>
      <c r="AG132" s="57"/>
      <c r="AH132" s="57"/>
      <c r="AI132" s="57"/>
      <c r="AJ132" s="57"/>
      <c r="AK132" s="57"/>
      <c r="AL132" s="57"/>
      <c r="AM132" s="57"/>
      <c r="AN132" s="57"/>
      <c r="AO132" s="57"/>
      <c r="AP132" s="57"/>
      <c r="AQ132" s="57"/>
      <c r="AR132" s="57"/>
      <c r="AS132" s="57"/>
    </row>
    <row r="133" spans="1:45">
      <c r="A133" s="57">
        <v>10</v>
      </c>
      <c r="B133" s="57">
        <v>2029</v>
      </c>
      <c r="C133" s="62">
        <f>SUM('4. Metinis CAPEX'!I$9:I$18)</f>
        <v>0</v>
      </c>
      <c r="D133" s="62" cm="1">
        <f t="array" ref="D133">SUMPRODUCT('4. Metinis CAPEX'!I$9:I$18,IFERROR('2. Investicijos'!$N$5:$N$14/'2. Investicijos'!$H$5:$H$14,0))</f>
        <v>0</v>
      </c>
      <c r="E133" s="62" cm="1">
        <f t="array" ref="E133">SUMPRODUCT('4. Metinis CAPEX'!I$9:I$18,IFERROR(('2. Investicijos'!$I$5:$I$14+'2. Investicijos'!$J$5:$J$14+'2. Investicijos'!$K$5:$K$14+'2. Investicijos'!$L$5:$L$14)/'2. Investicijos'!$H$5:$H$14,0))</f>
        <v>0</v>
      </c>
      <c r="F133" s="62" cm="1">
        <f t="array" ref="F133">SUM('2. Investicijos'!$H$5:$H$14*IF('2. Investicijos'!$G$5:$G$14&lt;=35,30%,40%))</f>
        <v>0</v>
      </c>
      <c r="G133" s="62" cm="1">
        <f t="array" ref="G133">IF(AND(2029&gt;=2026,2029&lt;2026+'6. Aprašo scenarijus'!$C$4),SUM('2. Investicijos'!$H$5:$H$14*IF('2. Investicijos'!$G$5:$G$14&lt;=35,30%,40%))/'6. Aprašo scenarijus'!$C$4,0)</f>
        <v>0</v>
      </c>
      <c r="H133" s="62">
        <f t="shared" si="54"/>
        <v>0</v>
      </c>
      <c r="I133" s="62">
        <f>SUM(I$5:I$14)</f>
        <v>0</v>
      </c>
      <c r="J133" s="62" t="e" cm="1">
        <f t="array" ref="J133">K133+L133+MAX(0,-R132)*IFERROR(SUMPRODUCT(IF('2. Investicijos'!$N$5:$N$14&gt;('2. Investicijos'!$H$5:$H$14*IF('2. Investicijos'!$G$5:$G$14&lt;=35,30%,40%)),'2. Investicijos'!$N$5:$N$14-('2. Investicijos'!$H$5:$H$14*IF('2. Investicijos'!$G$5:$G$14&lt;=35,30%,40%)),0),'2. Investicijos'!$O$5:$O$14/100)/SUM(IF('2. Investicijos'!$N$5:$N$14&gt;('2. Investicijos'!$H$5:$H$14*IF('2. Investicijos'!$G$5:$G$14&lt;=35,30%,40%)),'2. Investicijos'!$N$5:$N$14-('2. Investicijos'!$H$5:$H$14*IF('2. Investicijos'!$G$5:$G$14&lt;=35,30%,40%)),0)),0)</f>
        <v>#VALUE!</v>
      </c>
      <c r="K133" s="62">
        <f>SUM(AC$5:AC$14)</f>
        <v>0</v>
      </c>
      <c r="L133" s="62">
        <f>SUM(S$5:S$14)</f>
        <v>0</v>
      </c>
      <c r="M133" s="62">
        <f>SUM(AM$5:AM$14)</f>
        <v>0</v>
      </c>
      <c r="N133" s="62">
        <f>'3. Finansinės prielaidos'!F30+M133</f>
        <v>0</v>
      </c>
      <c r="O133" s="62">
        <f>'3. Finansinės prielaidos'!F31</f>
        <v>0</v>
      </c>
      <c r="P133" s="62">
        <f>'3. Finansinės prielaidos'!F32</f>
        <v>0</v>
      </c>
      <c r="Q133" s="62" t="e">
        <f t="shared" si="55"/>
        <v>#VALUE!</v>
      </c>
      <c r="R133" s="62" t="e">
        <f>R132+('3. Finansinės prielaidos'!F31-'3. Finansinės prielaidos'!E31)+Q133</f>
        <v>#VALUE!</v>
      </c>
      <c r="S133" s="62" t="e" cm="1">
        <f t="array" ref="S133">SUMPRODUCT(--(2029&gt;'2. Investicijos'!$F$5:$F$14),--(2029&lt;='2. Investicijos'!$F$5:$F$14+'2. Investicijos'!$G$5:$G$14),IFERROR(('2. Investicijos'!$M$5:$M$14+IF('2. Investicijos'!$N$5:$N$14&gt;('2. Investicijos'!$H$5:$H$14*IF('2. Investicijos'!$G$5:$G$14&lt;=35,30%,40%)),'2. Investicijos'!$N$5:$N$14-('2. Investicijos'!$H$5:$H$14*IF('2. Investicijos'!$G$5:$G$14&lt;=35,30%,40%)),0)+('2. Investicijos'!$H$5:$H$14*IF('2. Investicijos'!$G$5:$G$14&lt;=35,30%,40%)))/'2. Investicijos'!$G$5:$G$14,0))+SUMPRODUCT(--(2029&gt;'2. Investicijos'!$F$5:$F$14),--(2029&lt;='2. Investicijos'!$F$5:$F$14+'2. Investicijos'!$G$5:$G$14),IFERROR(('2. Investicijos'!$M$5:$M$14+IF('2. Investicijos'!$N$5:$N$14&gt;('2. Investicijos'!$H$5:$H$14*IF('2. Investicijos'!$G$5:$G$14&lt;=35,30%,40%)),'2. Investicijos'!$N$5:$N$14-('2. Investicijos'!$H$5:$H$14*IF('2. Investicijos'!$G$5:$G$14&lt;=35,30%,40%)),0))*(1-((2029-'2. Investicijos'!$F$5:$F$14)-1)/'2. Investicijos'!$G$5:$G$14),0)*'5. 0% scenarijus'!$C$5)</f>
        <v>#VALUE!</v>
      </c>
      <c r="T133" s="62" t="e">
        <f>'3. Finansinės prielaidos'!F29+S133+G133</f>
        <v>#VALUE!</v>
      </c>
      <c r="U133" s="62" t="e">
        <f t="shared" si="56"/>
        <v>#VALUE!</v>
      </c>
      <c r="V133" s="72" t="e">
        <f t="shared" si="57"/>
        <v>#VALUE!</v>
      </c>
      <c r="W133" s="72" t="e">
        <f t="shared" si="58"/>
        <v>#VALUE!</v>
      </c>
      <c r="X133" s="57" t="e">
        <f t="shared" si="59"/>
        <v>#VALUE!</v>
      </c>
      <c r="Y133" s="57" t="e">
        <f t="shared" si="60"/>
        <v>#VALUE!</v>
      </c>
      <c r="Z133" s="57"/>
      <c r="AA133" s="57"/>
      <c r="AB133" s="57"/>
      <c r="AC133" s="57"/>
      <c r="AD133" s="57"/>
      <c r="AE133" s="57"/>
      <c r="AF133" s="57"/>
      <c r="AG133" s="57"/>
      <c r="AH133" s="57"/>
      <c r="AI133" s="57"/>
      <c r="AJ133" s="57"/>
      <c r="AK133" s="57"/>
      <c r="AL133" s="57"/>
      <c r="AM133" s="57"/>
      <c r="AN133" s="57"/>
      <c r="AO133" s="57"/>
      <c r="AP133" s="57"/>
      <c r="AQ133" s="57"/>
      <c r="AR133" s="57"/>
      <c r="AS133" s="57"/>
    </row>
    <row r="134" spans="1:45">
      <c r="A134" s="57">
        <v>10</v>
      </c>
      <c r="B134" s="57">
        <v>2030</v>
      </c>
      <c r="C134" s="62">
        <f>SUM('4. Metinis CAPEX'!J$9:J$18)</f>
        <v>0</v>
      </c>
      <c r="D134" s="62" cm="1">
        <f t="array" ref="D134">SUMPRODUCT('4. Metinis CAPEX'!J$9:J$18,IFERROR('2. Investicijos'!$N$5:$N$14/'2. Investicijos'!$H$5:$H$14,0))</f>
        <v>0</v>
      </c>
      <c r="E134" s="62" cm="1">
        <f t="array" ref="E134">SUMPRODUCT('4. Metinis CAPEX'!J$9:J$18,IFERROR(('2. Investicijos'!$I$5:$I$14+'2. Investicijos'!$J$5:$J$14+'2. Investicijos'!$K$5:$K$14+'2. Investicijos'!$L$5:$L$14)/'2. Investicijos'!$H$5:$H$14,0))</f>
        <v>0</v>
      </c>
      <c r="F134" s="62" cm="1">
        <f t="array" ref="F134">SUM('2. Investicijos'!$H$5:$H$14*IF('2. Investicijos'!$G$5:$G$14&lt;=35,30%,40%))</f>
        <v>0</v>
      </c>
      <c r="G134" s="62" cm="1">
        <f t="array" ref="G134">IF(AND(2030&gt;=2026,2030&lt;2026+'6. Aprašo scenarijus'!$C$4),SUM('2. Investicijos'!$H$5:$H$14*IF('2. Investicijos'!$G$5:$G$14&lt;=35,30%,40%))/'6. Aprašo scenarijus'!$C$4,0)</f>
        <v>0</v>
      </c>
      <c r="H134" s="62">
        <f t="shared" si="54"/>
        <v>0</v>
      </c>
      <c r="I134" s="62">
        <f>SUM(J$5:J$14)</f>
        <v>0</v>
      </c>
      <c r="J134" s="62" t="e" cm="1">
        <f t="array" ref="J134">K134+L134+MAX(0,-R133)*IFERROR(SUMPRODUCT(IF('2. Investicijos'!$N$5:$N$14&gt;('2. Investicijos'!$H$5:$H$14*IF('2. Investicijos'!$G$5:$G$14&lt;=35,30%,40%)),'2. Investicijos'!$N$5:$N$14-('2. Investicijos'!$H$5:$H$14*IF('2. Investicijos'!$G$5:$G$14&lt;=35,30%,40%)),0),'2. Investicijos'!$O$5:$O$14/100)/SUM(IF('2. Investicijos'!$N$5:$N$14&gt;('2. Investicijos'!$H$5:$H$14*IF('2. Investicijos'!$G$5:$G$14&lt;=35,30%,40%)),'2. Investicijos'!$N$5:$N$14-('2. Investicijos'!$H$5:$H$14*IF('2. Investicijos'!$G$5:$G$14&lt;=35,30%,40%)),0)),0)</f>
        <v>#VALUE!</v>
      </c>
      <c r="K134" s="62">
        <f>SUM(AD$5:AD$14)</f>
        <v>0</v>
      </c>
      <c r="L134" s="62">
        <f>SUM(T$5:T$14)</f>
        <v>0</v>
      </c>
      <c r="M134" s="62">
        <f>SUM(AN$5:AN$14)</f>
        <v>0</v>
      </c>
      <c r="N134" s="62">
        <f>'3. Finansinės prielaidos'!G30+M134</f>
        <v>0</v>
      </c>
      <c r="O134" s="62">
        <f>'3. Finansinės prielaidos'!G31</f>
        <v>0</v>
      </c>
      <c r="P134" s="62">
        <f>'3. Finansinės prielaidos'!G32</f>
        <v>0</v>
      </c>
      <c r="Q134" s="62" t="e">
        <f t="shared" si="55"/>
        <v>#VALUE!</v>
      </c>
      <c r="R134" s="62" t="e">
        <f>R133+('3. Finansinės prielaidos'!G31-'3. Finansinės prielaidos'!F31)+Q134</f>
        <v>#VALUE!</v>
      </c>
      <c r="S134" s="62" t="e" cm="1">
        <f t="array" ref="S134">SUMPRODUCT(--(2030&gt;'2. Investicijos'!$F$5:$F$14),--(2030&lt;='2. Investicijos'!$F$5:$F$14+'2. Investicijos'!$G$5:$G$14),IFERROR(('2. Investicijos'!$M$5:$M$14+IF('2. Investicijos'!$N$5:$N$14&gt;('2. Investicijos'!$H$5:$H$14*IF('2. Investicijos'!$G$5:$G$14&lt;=35,30%,40%)),'2. Investicijos'!$N$5:$N$14-('2. Investicijos'!$H$5:$H$14*IF('2. Investicijos'!$G$5:$G$14&lt;=35,30%,40%)),0)+('2. Investicijos'!$H$5:$H$14*IF('2. Investicijos'!$G$5:$G$14&lt;=35,30%,40%)))/'2. Investicijos'!$G$5:$G$14,0))+SUMPRODUCT(--(2030&gt;'2. Investicijos'!$F$5:$F$14),--(2030&lt;='2. Investicijos'!$F$5:$F$14+'2. Investicijos'!$G$5:$G$14),IFERROR(('2. Investicijos'!$M$5:$M$14+IF('2. Investicijos'!$N$5:$N$14&gt;('2. Investicijos'!$H$5:$H$14*IF('2. Investicijos'!$G$5:$G$14&lt;=35,30%,40%)),'2. Investicijos'!$N$5:$N$14-('2. Investicijos'!$H$5:$H$14*IF('2. Investicijos'!$G$5:$G$14&lt;=35,30%,40%)),0))*(1-((2030-'2. Investicijos'!$F$5:$F$14)-1)/'2. Investicijos'!$G$5:$G$14),0)*'5. 0% scenarijus'!$C$5)</f>
        <v>#VALUE!</v>
      </c>
      <c r="T134" s="62" t="e">
        <f>'3. Finansinės prielaidos'!G29+S134+G134</f>
        <v>#VALUE!</v>
      </c>
      <c r="U134" s="62" t="e">
        <f t="shared" si="56"/>
        <v>#VALUE!</v>
      </c>
      <c r="V134" s="72" t="e">
        <f t="shared" si="57"/>
        <v>#VALUE!</v>
      </c>
      <c r="W134" s="72" t="e">
        <f t="shared" si="58"/>
        <v>#VALUE!</v>
      </c>
      <c r="X134" s="57" t="e">
        <f t="shared" si="59"/>
        <v>#VALUE!</v>
      </c>
      <c r="Y134" s="57" t="e">
        <f t="shared" si="60"/>
        <v>#VALUE!</v>
      </c>
      <c r="Z134" s="57"/>
      <c r="AA134" s="57"/>
      <c r="AB134" s="57"/>
      <c r="AC134" s="57"/>
      <c r="AD134" s="57"/>
      <c r="AE134" s="57"/>
      <c r="AF134" s="57"/>
      <c r="AG134" s="57"/>
      <c r="AH134" s="57"/>
      <c r="AI134" s="57"/>
      <c r="AJ134" s="57"/>
      <c r="AK134" s="57"/>
      <c r="AL134" s="57"/>
      <c r="AM134" s="57"/>
      <c r="AN134" s="57"/>
      <c r="AO134" s="57"/>
      <c r="AP134" s="57"/>
      <c r="AQ134" s="57"/>
      <c r="AR134" s="57"/>
      <c r="AS134" s="57"/>
    </row>
    <row r="135" spans="1:45">
      <c r="A135" s="57">
        <v>10</v>
      </c>
      <c r="B135" s="57">
        <v>2031</v>
      </c>
      <c r="C135" s="62">
        <f>SUM('4. Metinis CAPEX'!K$9:K$18)</f>
        <v>0</v>
      </c>
      <c r="D135" s="62" cm="1">
        <f t="array" ref="D135">SUMPRODUCT('4. Metinis CAPEX'!K$9:K$18,IFERROR('2. Investicijos'!$N$5:$N$14/'2. Investicijos'!$H$5:$H$14,0))</f>
        <v>0</v>
      </c>
      <c r="E135" s="62" cm="1">
        <f t="array" ref="E135">SUMPRODUCT('4. Metinis CAPEX'!K$9:K$18,IFERROR(('2. Investicijos'!$I$5:$I$14+'2. Investicijos'!$J$5:$J$14+'2. Investicijos'!$K$5:$K$14+'2. Investicijos'!$L$5:$L$14)/'2. Investicijos'!$H$5:$H$14,0))</f>
        <v>0</v>
      </c>
      <c r="F135" s="62" cm="1">
        <f t="array" ref="F135">SUM('2. Investicijos'!$H$5:$H$14*IF('2. Investicijos'!$G$5:$G$14&lt;=35,30%,40%))</f>
        <v>0</v>
      </c>
      <c r="G135" s="62" cm="1">
        <f t="array" ref="G135">IF(AND(2031&gt;=2026,2031&lt;2026+'6. Aprašo scenarijus'!$C$4),SUM('2. Investicijos'!$H$5:$H$14*IF('2. Investicijos'!$G$5:$G$14&lt;=35,30%,40%))/'6. Aprašo scenarijus'!$C$4,0)</f>
        <v>0</v>
      </c>
      <c r="H135" s="62">
        <f t="shared" si="54"/>
        <v>0</v>
      </c>
      <c r="I135" s="62">
        <f>SUM(K$5:K$14)</f>
        <v>0</v>
      </c>
      <c r="J135" s="62" t="e" cm="1">
        <f t="array" ref="J135">K135+L135+MAX(0,-R134)*IFERROR(SUMPRODUCT(IF('2. Investicijos'!$N$5:$N$14&gt;('2. Investicijos'!$H$5:$H$14*IF('2. Investicijos'!$G$5:$G$14&lt;=35,30%,40%)),'2. Investicijos'!$N$5:$N$14-('2. Investicijos'!$H$5:$H$14*IF('2. Investicijos'!$G$5:$G$14&lt;=35,30%,40%)),0),'2. Investicijos'!$O$5:$O$14/100)/SUM(IF('2. Investicijos'!$N$5:$N$14&gt;('2. Investicijos'!$H$5:$H$14*IF('2. Investicijos'!$G$5:$G$14&lt;=35,30%,40%)),'2. Investicijos'!$N$5:$N$14-('2. Investicijos'!$H$5:$H$14*IF('2. Investicijos'!$G$5:$G$14&lt;=35,30%,40%)),0)),0)</f>
        <v>#VALUE!</v>
      </c>
      <c r="K135" s="62">
        <f>SUM(AE$5:AE$14)</f>
        <v>0</v>
      </c>
      <c r="L135" s="62">
        <f>SUM(U$5:U$14)</f>
        <v>0</v>
      </c>
      <c r="M135" s="62">
        <f>SUM(AO$5:AO$14)</f>
        <v>0</v>
      </c>
      <c r="N135" s="62">
        <f>'3. Finansinės prielaidos'!H30+M135</f>
        <v>0</v>
      </c>
      <c r="O135" s="62">
        <f>'3. Finansinės prielaidos'!H31</f>
        <v>0</v>
      </c>
      <c r="P135" s="62">
        <f>'3. Finansinės prielaidos'!H32</f>
        <v>0</v>
      </c>
      <c r="Q135" s="62" t="e">
        <f t="shared" si="55"/>
        <v>#VALUE!</v>
      </c>
      <c r="R135" s="62" t="e">
        <f>R134+('3. Finansinės prielaidos'!H31-'3. Finansinės prielaidos'!G31)+Q135</f>
        <v>#VALUE!</v>
      </c>
      <c r="S135" s="62" t="e" cm="1">
        <f t="array" ref="S135">SUMPRODUCT(--(2031&gt;'2. Investicijos'!$F$5:$F$14),--(2031&lt;='2. Investicijos'!$F$5:$F$14+'2. Investicijos'!$G$5:$G$14),IFERROR(('2. Investicijos'!$M$5:$M$14+IF('2. Investicijos'!$N$5:$N$14&gt;('2. Investicijos'!$H$5:$H$14*IF('2. Investicijos'!$G$5:$G$14&lt;=35,30%,40%)),'2. Investicijos'!$N$5:$N$14-('2. Investicijos'!$H$5:$H$14*IF('2. Investicijos'!$G$5:$G$14&lt;=35,30%,40%)),0)+('2. Investicijos'!$H$5:$H$14*IF('2. Investicijos'!$G$5:$G$14&lt;=35,30%,40%)))/'2. Investicijos'!$G$5:$G$14,0))+SUMPRODUCT(--(2031&gt;'2. Investicijos'!$F$5:$F$14),--(2031&lt;='2. Investicijos'!$F$5:$F$14+'2. Investicijos'!$G$5:$G$14),IFERROR(('2. Investicijos'!$M$5:$M$14+IF('2. Investicijos'!$N$5:$N$14&gt;('2. Investicijos'!$H$5:$H$14*IF('2. Investicijos'!$G$5:$G$14&lt;=35,30%,40%)),'2. Investicijos'!$N$5:$N$14-('2. Investicijos'!$H$5:$H$14*IF('2. Investicijos'!$G$5:$G$14&lt;=35,30%,40%)),0))*(1-((2031-'2. Investicijos'!$F$5:$F$14)-1)/'2. Investicijos'!$G$5:$G$14),0)*'5. 0% scenarijus'!$C$5)</f>
        <v>#VALUE!</v>
      </c>
      <c r="T135" s="62" t="e">
        <f>'3. Finansinės prielaidos'!H29+S135+G135</f>
        <v>#VALUE!</v>
      </c>
      <c r="U135" s="62" t="e">
        <f t="shared" si="56"/>
        <v>#VALUE!</v>
      </c>
      <c r="V135" s="72" t="e">
        <f t="shared" si="57"/>
        <v>#VALUE!</v>
      </c>
      <c r="W135" s="72" t="e">
        <f t="shared" si="58"/>
        <v>#VALUE!</v>
      </c>
      <c r="X135" s="57" t="e">
        <f t="shared" si="59"/>
        <v>#VALUE!</v>
      </c>
      <c r="Y135" s="57" t="e">
        <f t="shared" si="60"/>
        <v>#VALUE!</v>
      </c>
      <c r="Z135" s="57"/>
      <c r="AA135" s="57"/>
      <c r="AB135" s="57"/>
      <c r="AC135" s="57"/>
      <c r="AD135" s="57"/>
      <c r="AE135" s="57"/>
      <c r="AF135" s="57"/>
      <c r="AG135" s="57"/>
      <c r="AH135" s="57"/>
      <c r="AI135" s="57"/>
      <c r="AJ135" s="57"/>
      <c r="AK135" s="57"/>
      <c r="AL135" s="57"/>
      <c r="AM135" s="57"/>
      <c r="AN135" s="57"/>
      <c r="AO135" s="57"/>
      <c r="AP135" s="57"/>
      <c r="AQ135" s="57"/>
      <c r="AR135" s="57"/>
      <c r="AS135" s="57"/>
    </row>
    <row r="136" spans="1:45">
      <c r="A136" s="57">
        <v>10</v>
      </c>
      <c r="B136" s="57">
        <v>2032</v>
      </c>
      <c r="C136" s="62">
        <f>SUM('4. Metinis CAPEX'!L$9:L$18)</f>
        <v>0</v>
      </c>
      <c r="D136" s="62" cm="1">
        <f t="array" ref="D136">SUMPRODUCT('4. Metinis CAPEX'!L$9:L$18,IFERROR('2. Investicijos'!$N$5:$N$14/'2. Investicijos'!$H$5:$H$14,0))</f>
        <v>0</v>
      </c>
      <c r="E136" s="62" cm="1">
        <f t="array" ref="E136">SUMPRODUCT('4. Metinis CAPEX'!L$9:L$18,IFERROR(('2. Investicijos'!$I$5:$I$14+'2. Investicijos'!$J$5:$J$14+'2. Investicijos'!$K$5:$K$14+'2. Investicijos'!$L$5:$L$14)/'2. Investicijos'!$H$5:$H$14,0))</f>
        <v>0</v>
      </c>
      <c r="F136" s="62" cm="1">
        <f t="array" ref="F136">SUM('2. Investicijos'!$H$5:$H$14*IF('2. Investicijos'!$G$5:$G$14&lt;=35,30%,40%))</f>
        <v>0</v>
      </c>
      <c r="G136" s="62" cm="1">
        <f t="array" ref="G136">IF(AND(2032&gt;=2026,2032&lt;2026+'6. Aprašo scenarijus'!$C$4),SUM('2. Investicijos'!$H$5:$H$14*IF('2. Investicijos'!$G$5:$G$14&lt;=35,30%,40%))/'6. Aprašo scenarijus'!$C$4,0)</f>
        <v>0</v>
      </c>
      <c r="H136" s="62">
        <f t="shared" ref="H136:H167" si="61">D136-I136</f>
        <v>0</v>
      </c>
      <c r="I136" s="62">
        <f>SUM(L$5:L$14)</f>
        <v>0</v>
      </c>
      <c r="J136" s="62" t="e" cm="1">
        <f t="array" ref="J136">K136+L136+MAX(0,-R135)*IFERROR(SUMPRODUCT(IF('2. Investicijos'!$N$5:$N$14&gt;('2. Investicijos'!$H$5:$H$14*IF('2. Investicijos'!$G$5:$G$14&lt;=35,30%,40%)),'2. Investicijos'!$N$5:$N$14-('2. Investicijos'!$H$5:$H$14*IF('2. Investicijos'!$G$5:$G$14&lt;=35,30%,40%)),0),'2. Investicijos'!$O$5:$O$14/100)/SUM(IF('2. Investicijos'!$N$5:$N$14&gt;('2. Investicijos'!$H$5:$H$14*IF('2. Investicijos'!$G$5:$G$14&lt;=35,30%,40%)),'2. Investicijos'!$N$5:$N$14-('2. Investicijos'!$H$5:$H$14*IF('2. Investicijos'!$G$5:$G$14&lt;=35,30%,40%)),0)),0)</f>
        <v>#VALUE!</v>
      </c>
      <c r="K136" s="62">
        <f>SUM(AF$5:AF$14)</f>
        <v>0</v>
      </c>
      <c r="L136" s="62">
        <f>SUM(V$5:V$14)</f>
        <v>0</v>
      </c>
      <c r="M136" s="62">
        <f>SUM(AP$5:AP$14)</f>
        <v>0</v>
      </c>
      <c r="N136" s="62">
        <f>'3. Finansinės prielaidos'!I30+M136</f>
        <v>0</v>
      </c>
      <c r="O136" s="62">
        <f>'3. Finansinės prielaidos'!I31</f>
        <v>0</v>
      </c>
      <c r="P136" s="62">
        <f>'3. Finansinės prielaidos'!I32</f>
        <v>0</v>
      </c>
      <c r="Q136" s="62" t="e">
        <f t="shared" ref="Q136:Q167" si="62">S136+G136+I136+E136-C136-J136</f>
        <v>#VALUE!</v>
      </c>
      <c r="R136" s="62" t="e">
        <f>R135+('3. Finansinės prielaidos'!I31-'3. Finansinės prielaidos'!H31)+Q136</f>
        <v>#VALUE!</v>
      </c>
      <c r="S136" s="62" t="e" cm="1">
        <f t="array" ref="S136">SUMPRODUCT(--(2032&gt;'2. Investicijos'!$F$5:$F$14),--(2032&lt;='2. Investicijos'!$F$5:$F$14+'2. Investicijos'!$G$5:$G$14),IFERROR(('2. Investicijos'!$M$5:$M$14+IF('2. Investicijos'!$N$5:$N$14&gt;('2. Investicijos'!$H$5:$H$14*IF('2. Investicijos'!$G$5:$G$14&lt;=35,30%,40%)),'2. Investicijos'!$N$5:$N$14-('2. Investicijos'!$H$5:$H$14*IF('2. Investicijos'!$G$5:$G$14&lt;=35,30%,40%)),0)+('2. Investicijos'!$H$5:$H$14*IF('2. Investicijos'!$G$5:$G$14&lt;=35,30%,40%)))/'2. Investicijos'!$G$5:$G$14,0))+SUMPRODUCT(--(2032&gt;'2. Investicijos'!$F$5:$F$14),--(2032&lt;='2. Investicijos'!$F$5:$F$14+'2. Investicijos'!$G$5:$G$14),IFERROR(('2. Investicijos'!$M$5:$M$14+IF('2. Investicijos'!$N$5:$N$14&gt;('2. Investicijos'!$H$5:$H$14*IF('2. Investicijos'!$G$5:$G$14&lt;=35,30%,40%)),'2. Investicijos'!$N$5:$N$14-('2. Investicijos'!$H$5:$H$14*IF('2. Investicijos'!$G$5:$G$14&lt;=35,30%,40%)),0))*(1-((2032-'2. Investicijos'!$F$5:$F$14)-1)/'2. Investicijos'!$G$5:$G$14),0)*'5. 0% scenarijus'!$C$5)</f>
        <v>#VALUE!</v>
      </c>
      <c r="T136" s="62" t="e">
        <f>'3. Finansinės prielaidos'!I29+S136+G136</f>
        <v>#VALUE!</v>
      </c>
      <c r="U136" s="62" t="e">
        <f t="shared" ref="U136:U167" si="63">N136-R136</f>
        <v>#VALUE!</v>
      </c>
      <c r="V136" s="72" t="e">
        <f t="shared" ref="V136:V167" si="64">IF(OR(T136="",T136&lt;=0),"",U136/T136)</f>
        <v>#VALUE!</v>
      </c>
      <c r="W136" s="72" t="e">
        <f t="shared" ref="W136:W167" si="65">IF(T136&lt;=0,"",IF(P136+J136=0,999999,T136/(P136+J136)))</f>
        <v>#VALUE!</v>
      </c>
      <c r="X136" s="57" t="e">
        <f t="shared" ref="X136:X167" si="66">IF(OR(V136="",W136=""),"",IF(AND(V136&lt;=5.5,W136&gt;=1.2),"ATITINKA","NEATITINKA"))</f>
        <v>#VALUE!</v>
      </c>
      <c r="Y136" s="57" t="e">
        <f t="shared" ref="Y136:Y167" si="67">IF(X136&lt;&gt;"NEATITINKA","",IF(T136&lt;=0,"EBITDA ≤ 0",IF(AND(V136&gt;5.5,W136&lt;1.2),"Abu",IF(V136&gt;5.5,"Net Debt / EBITDA","DSCR"))))</f>
        <v>#VALUE!</v>
      </c>
      <c r="Z136" s="57"/>
      <c r="AA136" s="57"/>
      <c r="AB136" s="57"/>
      <c r="AC136" s="57"/>
      <c r="AD136" s="57"/>
      <c r="AE136" s="57"/>
      <c r="AF136" s="57"/>
      <c r="AG136" s="57"/>
      <c r="AH136" s="57"/>
      <c r="AI136" s="57"/>
      <c r="AJ136" s="57"/>
      <c r="AK136" s="57"/>
      <c r="AL136" s="57"/>
      <c r="AM136" s="57"/>
      <c r="AN136" s="57"/>
      <c r="AO136" s="57"/>
      <c r="AP136" s="57"/>
      <c r="AQ136" s="57"/>
      <c r="AR136" s="57"/>
      <c r="AS136" s="57"/>
    </row>
    <row r="137" spans="1:45">
      <c r="A137" s="57">
        <v>10</v>
      </c>
      <c r="B137" s="57">
        <v>2033</v>
      </c>
      <c r="C137" s="62">
        <f>SUM('4. Metinis CAPEX'!M$9:M$18)</f>
        <v>0</v>
      </c>
      <c r="D137" s="62" cm="1">
        <f t="array" ref="D137">SUMPRODUCT('4. Metinis CAPEX'!M$9:M$18,IFERROR('2. Investicijos'!$N$5:$N$14/'2. Investicijos'!$H$5:$H$14,0))</f>
        <v>0</v>
      </c>
      <c r="E137" s="62" cm="1">
        <f t="array" ref="E137">SUMPRODUCT('4. Metinis CAPEX'!M$9:M$18,IFERROR(('2. Investicijos'!$I$5:$I$14+'2. Investicijos'!$J$5:$J$14+'2. Investicijos'!$K$5:$K$14+'2. Investicijos'!$L$5:$L$14)/'2. Investicijos'!$H$5:$H$14,0))</f>
        <v>0</v>
      </c>
      <c r="F137" s="62" cm="1">
        <f t="array" ref="F137">SUM('2. Investicijos'!$H$5:$H$14*IF('2. Investicijos'!$G$5:$G$14&lt;=35,30%,40%))</f>
        <v>0</v>
      </c>
      <c r="G137" s="62" cm="1">
        <f t="array" ref="G137">IF(AND(2033&gt;=2026,2033&lt;2026+'6. Aprašo scenarijus'!$C$4),SUM('2. Investicijos'!$H$5:$H$14*IF('2. Investicijos'!$G$5:$G$14&lt;=35,30%,40%))/'6. Aprašo scenarijus'!$C$4,0)</f>
        <v>0</v>
      </c>
      <c r="H137" s="62">
        <f t="shared" si="61"/>
        <v>0</v>
      </c>
      <c r="I137" s="62">
        <f>SUM(M$5:M$14)</f>
        <v>0</v>
      </c>
      <c r="J137" s="62" t="e" cm="1">
        <f t="array" ref="J137">K137+L137+MAX(0,-R136)*IFERROR(SUMPRODUCT(IF('2. Investicijos'!$N$5:$N$14&gt;('2. Investicijos'!$H$5:$H$14*IF('2. Investicijos'!$G$5:$G$14&lt;=35,30%,40%)),'2. Investicijos'!$N$5:$N$14-('2. Investicijos'!$H$5:$H$14*IF('2. Investicijos'!$G$5:$G$14&lt;=35,30%,40%)),0),'2. Investicijos'!$O$5:$O$14/100)/SUM(IF('2. Investicijos'!$N$5:$N$14&gt;('2. Investicijos'!$H$5:$H$14*IF('2. Investicijos'!$G$5:$G$14&lt;=35,30%,40%)),'2. Investicijos'!$N$5:$N$14-('2. Investicijos'!$H$5:$H$14*IF('2. Investicijos'!$G$5:$G$14&lt;=35,30%,40%)),0)),0)</f>
        <v>#VALUE!</v>
      </c>
      <c r="K137" s="62">
        <f>SUM(AG$5:AG$14)</f>
        <v>0</v>
      </c>
      <c r="L137" s="62">
        <f>SUM(W$5:W$14)</f>
        <v>0</v>
      </c>
      <c r="M137" s="62">
        <f>SUM(AQ$5:AQ$14)</f>
        <v>0</v>
      </c>
      <c r="N137" s="62">
        <f>'3. Finansinės prielaidos'!J30+M137</f>
        <v>0</v>
      </c>
      <c r="O137" s="62">
        <f>'3. Finansinės prielaidos'!J31</f>
        <v>0</v>
      </c>
      <c r="P137" s="62">
        <f>'3. Finansinės prielaidos'!J32</f>
        <v>0</v>
      </c>
      <c r="Q137" s="62" t="e">
        <f t="shared" si="62"/>
        <v>#VALUE!</v>
      </c>
      <c r="R137" s="62" t="e">
        <f>R136+('3. Finansinės prielaidos'!J31-'3. Finansinės prielaidos'!I31)+Q137</f>
        <v>#VALUE!</v>
      </c>
      <c r="S137" s="62" t="e" cm="1">
        <f t="array" ref="S137">SUMPRODUCT(--(2033&gt;'2. Investicijos'!$F$5:$F$14),--(2033&lt;='2. Investicijos'!$F$5:$F$14+'2. Investicijos'!$G$5:$G$14),IFERROR(('2. Investicijos'!$M$5:$M$14+IF('2. Investicijos'!$N$5:$N$14&gt;('2. Investicijos'!$H$5:$H$14*IF('2. Investicijos'!$G$5:$G$14&lt;=35,30%,40%)),'2. Investicijos'!$N$5:$N$14-('2. Investicijos'!$H$5:$H$14*IF('2. Investicijos'!$G$5:$G$14&lt;=35,30%,40%)),0)+('2. Investicijos'!$H$5:$H$14*IF('2. Investicijos'!$G$5:$G$14&lt;=35,30%,40%)))/'2. Investicijos'!$G$5:$G$14,0))+SUMPRODUCT(--(2033&gt;'2. Investicijos'!$F$5:$F$14),--(2033&lt;='2. Investicijos'!$F$5:$F$14+'2. Investicijos'!$G$5:$G$14),IFERROR(('2. Investicijos'!$M$5:$M$14+IF('2. Investicijos'!$N$5:$N$14&gt;('2. Investicijos'!$H$5:$H$14*IF('2. Investicijos'!$G$5:$G$14&lt;=35,30%,40%)),'2. Investicijos'!$N$5:$N$14-('2. Investicijos'!$H$5:$H$14*IF('2. Investicijos'!$G$5:$G$14&lt;=35,30%,40%)),0))*(1-((2033-'2. Investicijos'!$F$5:$F$14)-1)/'2. Investicijos'!$G$5:$G$14),0)*'5. 0% scenarijus'!$C$5)</f>
        <v>#VALUE!</v>
      </c>
      <c r="T137" s="62" t="e">
        <f>'3. Finansinės prielaidos'!J29+S137+G137</f>
        <v>#VALUE!</v>
      </c>
      <c r="U137" s="62" t="e">
        <f t="shared" si="63"/>
        <v>#VALUE!</v>
      </c>
      <c r="V137" s="72" t="e">
        <f t="shared" si="64"/>
        <v>#VALUE!</v>
      </c>
      <c r="W137" s="72" t="e">
        <f t="shared" si="65"/>
        <v>#VALUE!</v>
      </c>
      <c r="X137" s="57" t="e">
        <f t="shared" si="66"/>
        <v>#VALUE!</v>
      </c>
      <c r="Y137" s="57" t="e">
        <f t="shared" si="67"/>
        <v>#VALUE!</v>
      </c>
      <c r="Z137" s="57"/>
      <c r="AA137" s="57"/>
      <c r="AB137" s="57"/>
      <c r="AC137" s="57"/>
      <c r="AD137" s="57"/>
      <c r="AE137" s="57"/>
      <c r="AF137" s="57"/>
      <c r="AG137" s="57"/>
      <c r="AH137" s="57"/>
      <c r="AI137" s="57"/>
      <c r="AJ137" s="57"/>
      <c r="AK137" s="57"/>
      <c r="AL137" s="57"/>
      <c r="AM137" s="57"/>
      <c r="AN137" s="57"/>
      <c r="AO137" s="57"/>
      <c r="AP137" s="57"/>
      <c r="AQ137" s="57"/>
      <c r="AR137" s="57"/>
      <c r="AS137" s="57"/>
    </row>
    <row r="138" spans="1:45">
      <c r="A138" s="57">
        <v>10</v>
      </c>
      <c r="B138" s="57">
        <v>2034</v>
      </c>
      <c r="C138" s="62">
        <f>SUM('4. Metinis CAPEX'!N$9:N$18)</f>
        <v>0</v>
      </c>
      <c r="D138" s="62" cm="1">
        <f t="array" ref="D138">SUMPRODUCT('4. Metinis CAPEX'!N$9:N$18,IFERROR('2. Investicijos'!$N$5:$N$14/'2. Investicijos'!$H$5:$H$14,0))</f>
        <v>0</v>
      </c>
      <c r="E138" s="62" cm="1">
        <f t="array" ref="E138">SUMPRODUCT('4. Metinis CAPEX'!N$9:N$18,IFERROR(('2. Investicijos'!$I$5:$I$14+'2. Investicijos'!$J$5:$J$14+'2. Investicijos'!$K$5:$K$14+'2. Investicijos'!$L$5:$L$14)/'2. Investicijos'!$H$5:$H$14,0))</f>
        <v>0</v>
      </c>
      <c r="F138" s="62" cm="1">
        <f t="array" ref="F138">SUM('2. Investicijos'!$H$5:$H$14*IF('2. Investicijos'!$G$5:$G$14&lt;=35,30%,40%))</f>
        <v>0</v>
      </c>
      <c r="G138" s="62" cm="1">
        <f t="array" ref="G138">IF(AND(2034&gt;=2026,2034&lt;2026+'6. Aprašo scenarijus'!$C$4),SUM('2. Investicijos'!$H$5:$H$14*IF('2. Investicijos'!$G$5:$G$14&lt;=35,30%,40%))/'6. Aprašo scenarijus'!$C$4,0)</f>
        <v>0</v>
      </c>
      <c r="H138" s="62">
        <f t="shared" si="61"/>
        <v>0</v>
      </c>
      <c r="I138" s="62">
        <f>SUM(N$5:N$14)</f>
        <v>0</v>
      </c>
      <c r="J138" s="62" t="e" cm="1">
        <f t="array" ref="J138">K138+L138+MAX(0,-R137)*IFERROR(SUMPRODUCT(IF('2. Investicijos'!$N$5:$N$14&gt;('2. Investicijos'!$H$5:$H$14*IF('2. Investicijos'!$G$5:$G$14&lt;=35,30%,40%)),'2. Investicijos'!$N$5:$N$14-('2. Investicijos'!$H$5:$H$14*IF('2. Investicijos'!$G$5:$G$14&lt;=35,30%,40%)),0),'2. Investicijos'!$O$5:$O$14/100)/SUM(IF('2. Investicijos'!$N$5:$N$14&gt;('2. Investicijos'!$H$5:$H$14*IF('2. Investicijos'!$G$5:$G$14&lt;=35,30%,40%)),'2. Investicijos'!$N$5:$N$14-('2. Investicijos'!$H$5:$H$14*IF('2. Investicijos'!$G$5:$G$14&lt;=35,30%,40%)),0)),0)</f>
        <v>#VALUE!</v>
      </c>
      <c r="K138" s="62">
        <f>SUM(AH$5:AH$14)</f>
        <v>0</v>
      </c>
      <c r="L138" s="62">
        <f>SUM(X$5:X$14)</f>
        <v>0</v>
      </c>
      <c r="M138" s="62">
        <f>SUM(AR$5:AR$14)</f>
        <v>0</v>
      </c>
      <c r="N138" s="62">
        <f>'3. Finansinės prielaidos'!K30+M138</f>
        <v>0</v>
      </c>
      <c r="O138" s="62">
        <f>'3. Finansinės prielaidos'!K31</f>
        <v>0</v>
      </c>
      <c r="P138" s="62">
        <f>'3. Finansinės prielaidos'!K32</f>
        <v>0</v>
      </c>
      <c r="Q138" s="62" t="e">
        <f t="shared" si="62"/>
        <v>#VALUE!</v>
      </c>
      <c r="R138" s="62" t="e">
        <f>R137+('3. Finansinės prielaidos'!K31-'3. Finansinės prielaidos'!J31)+Q138</f>
        <v>#VALUE!</v>
      </c>
      <c r="S138" s="62" t="e" cm="1">
        <f t="array" ref="S138">SUMPRODUCT(--(2034&gt;'2. Investicijos'!$F$5:$F$14),--(2034&lt;='2. Investicijos'!$F$5:$F$14+'2. Investicijos'!$G$5:$G$14),IFERROR(('2. Investicijos'!$M$5:$M$14+IF('2. Investicijos'!$N$5:$N$14&gt;('2. Investicijos'!$H$5:$H$14*IF('2. Investicijos'!$G$5:$G$14&lt;=35,30%,40%)),'2. Investicijos'!$N$5:$N$14-('2. Investicijos'!$H$5:$H$14*IF('2. Investicijos'!$G$5:$G$14&lt;=35,30%,40%)),0)+('2. Investicijos'!$H$5:$H$14*IF('2. Investicijos'!$G$5:$G$14&lt;=35,30%,40%)))/'2. Investicijos'!$G$5:$G$14,0))+SUMPRODUCT(--(2034&gt;'2. Investicijos'!$F$5:$F$14),--(2034&lt;='2. Investicijos'!$F$5:$F$14+'2. Investicijos'!$G$5:$G$14),IFERROR(('2. Investicijos'!$M$5:$M$14+IF('2. Investicijos'!$N$5:$N$14&gt;('2. Investicijos'!$H$5:$H$14*IF('2. Investicijos'!$G$5:$G$14&lt;=35,30%,40%)),'2. Investicijos'!$N$5:$N$14-('2. Investicijos'!$H$5:$H$14*IF('2. Investicijos'!$G$5:$G$14&lt;=35,30%,40%)),0))*(1-((2034-'2. Investicijos'!$F$5:$F$14)-1)/'2. Investicijos'!$G$5:$G$14),0)*'5. 0% scenarijus'!$C$5)</f>
        <v>#VALUE!</v>
      </c>
      <c r="T138" s="62" t="e">
        <f>'3. Finansinės prielaidos'!K29+S138+G138</f>
        <v>#VALUE!</v>
      </c>
      <c r="U138" s="62" t="e">
        <f t="shared" si="63"/>
        <v>#VALUE!</v>
      </c>
      <c r="V138" s="72" t="e">
        <f t="shared" si="64"/>
        <v>#VALUE!</v>
      </c>
      <c r="W138" s="72" t="e">
        <f t="shared" si="65"/>
        <v>#VALUE!</v>
      </c>
      <c r="X138" s="57" t="e">
        <f t="shared" si="66"/>
        <v>#VALUE!</v>
      </c>
      <c r="Y138" s="57" t="e">
        <f t="shared" si="67"/>
        <v>#VALUE!</v>
      </c>
      <c r="Z138" s="57"/>
      <c r="AA138" s="57"/>
      <c r="AB138" s="57"/>
      <c r="AC138" s="57"/>
      <c r="AD138" s="57"/>
      <c r="AE138" s="57"/>
      <c r="AF138" s="57"/>
      <c r="AG138" s="57"/>
      <c r="AH138" s="57"/>
      <c r="AI138" s="57"/>
      <c r="AJ138" s="57"/>
      <c r="AK138" s="57"/>
      <c r="AL138" s="57"/>
      <c r="AM138" s="57"/>
      <c r="AN138" s="57"/>
      <c r="AO138" s="57"/>
      <c r="AP138" s="57"/>
      <c r="AQ138" s="57"/>
      <c r="AR138" s="57"/>
      <c r="AS138" s="57"/>
    </row>
    <row r="139" spans="1:45">
      <c r="A139" s="57">
        <v>10</v>
      </c>
      <c r="B139" s="57">
        <v>2035</v>
      </c>
      <c r="C139" s="62">
        <f>SUM('4. Metinis CAPEX'!O$9:O$18)</f>
        <v>0</v>
      </c>
      <c r="D139" s="62" cm="1">
        <f t="array" ref="D139">SUMPRODUCT('4. Metinis CAPEX'!O$9:O$18,IFERROR('2. Investicijos'!$N$5:$N$14/'2. Investicijos'!$H$5:$H$14,0))</f>
        <v>0</v>
      </c>
      <c r="E139" s="62" cm="1">
        <f t="array" ref="E139">SUMPRODUCT('4. Metinis CAPEX'!O$9:O$18,IFERROR(('2. Investicijos'!$I$5:$I$14+'2. Investicijos'!$J$5:$J$14+'2. Investicijos'!$K$5:$K$14+'2. Investicijos'!$L$5:$L$14)/'2. Investicijos'!$H$5:$H$14,0))</f>
        <v>0</v>
      </c>
      <c r="F139" s="62" cm="1">
        <f t="array" ref="F139">SUM('2. Investicijos'!$H$5:$H$14*IF('2. Investicijos'!$G$5:$G$14&lt;=35,30%,40%))</f>
        <v>0</v>
      </c>
      <c r="G139" s="62" cm="1">
        <f t="array" ref="G139">IF(AND(2035&gt;=2026,2035&lt;2026+'6. Aprašo scenarijus'!$C$4),SUM('2. Investicijos'!$H$5:$H$14*IF('2. Investicijos'!$G$5:$G$14&lt;=35,30%,40%))/'6. Aprašo scenarijus'!$C$4,0)</f>
        <v>0</v>
      </c>
      <c r="H139" s="62">
        <f t="shared" si="61"/>
        <v>0</v>
      </c>
      <c r="I139" s="62">
        <f>SUM(O$5:O$14)</f>
        <v>0</v>
      </c>
      <c r="J139" s="62" t="e" cm="1">
        <f t="array" ref="J139">K139+L139+MAX(0,-R138)*IFERROR(SUMPRODUCT(IF('2. Investicijos'!$N$5:$N$14&gt;('2. Investicijos'!$H$5:$H$14*IF('2. Investicijos'!$G$5:$G$14&lt;=35,30%,40%)),'2. Investicijos'!$N$5:$N$14-('2. Investicijos'!$H$5:$H$14*IF('2. Investicijos'!$G$5:$G$14&lt;=35,30%,40%)),0),'2. Investicijos'!$O$5:$O$14/100)/SUM(IF('2. Investicijos'!$N$5:$N$14&gt;('2. Investicijos'!$H$5:$H$14*IF('2. Investicijos'!$G$5:$G$14&lt;=35,30%,40%)),'2. Investicijos'!$N$5:$N$14-('2. Investicijos'!$H$5:$H$14*IF('2. Investicijos'!$G$5:$G$14&lt;=35,30%,40%)),0)),0)</f>
        <v>#VALUE!</v>
      </c>
      <c r="K139" s="62">
        <f>SUM(AI$5:AI$14)</f>
        <v>0</v>
      </c>
      <c r="L139" s="62">
        <f>SUM(Y$5:Y$14)</f>
        <v>0</v>
      </c>
      <c r="M139" s="62">
        <f>SUM(AS$5:AS$14)</f>
        <v>0</v>
      </c>
      <c r="N139" s="62">
        <f>'3. Finansinės prielaidos'!L30+M139</f>
        <v>0</v>
      </c>
      <c r="O139" s="62">
        <f>'3. Finansinės prielaidos'!L31</f>
        <v>0</v>
      </c>
      <c r="P139" s="62">
        <f>'3. Finansinės prielaidos'!L32</f>
        <v>0</v>
      </c>
      <c r="Q139" s="62" t="e">
        <f t="shared" si="62"/>
        <v>#VALUE!</v>
      </c>
      <c r="R139" s="62" t="e">
        <f>R138+('3. Finansinės prielaidos'!L31-'3. Finansinės prielaidos'!K31)+Q139</f>
        <v>#VALUE!</v>
      </c>
      <c r="S139" s="62" t="e" cm="1">
        <f t="array" ref="S139">SUMPRODUCT(--(2035&gt;'2. Investicijos'!$F$5:$F$14),--(2035&lt;='2. Investicijos'!$F$5:$F$14+'2. Investicijos'!$G$5:$G$14),IFERROR(('2. Investicijos'!$M$5:$M$14+IF('2. Investicijos'!$N$5:$N$14&gt;('2. Investicijos'!$H$5:$H$14*IF('2. Investicijos'!$G$5:$G$14&lt;=35,30%,40%)),'2. Investicijos'!$N$5:$N$14-('2. Investicijos'!$H$5:$H$14*IF('2. Investicijos'!$G$5:$G$14&lt;=35,30%,40%)),0)+('2. Investicijos'!$H$5:$H$14*IF('2. Investicijos'!$G$5:$G$14&lt;=35,30%,40%)))/'2. Investicijos'!$G$5:$G$14,0))+SUMPRODUCT(--(2035&gt;'2. Investicijos'!$F$5:$F$14),--(2035&lt;='2. Investicijos'!$F$5:$F$14+'2. Investicijos'!$G$5:$G$14),IFERROR(('2. Investicijos'!$M$5:$M$14+IF('2. Investicijos'!$N$5:$N$14&gt;('2. Investicijos'!$H$5:$H$14*IF('2. Investicijos'!$G$5:$G$14&lt;=35,30%,40%)),'2. Investicijos'!$N$5:$N$14-('2. Investicijos'!$H$5:$H$14*IF('2. Investicijos'!$G$5:$G$14&lt;=35,30%,40%)),0))*(1-((2035-'2. Investicijos'!$F$5:$F$14)-1)/'2. Investicijos'!$G$5:$G$14),0)*'5. 0% scenarijus'!$C$5)</f>
        <v>#VALUE!</v>
      </c>
      <c r="T139" s="62" t="e">
        <f>'3. Finansinės prielaidos'!L29+S139+G139</f>
        <v>#VALUE!</v>
      </c>
      <c r="U139" s="62" t="e">
        <f t="shared" si="63"/>
        <v>#VALUE!</v>
      </c>
      <c r="V139" s="72" t="e">
        <f t="shared" si="64"/>
        <v>#VALUE!</v>
      </c>
      <c r="W139" s="72" t="e">
        <f t="shared" si="65"/>
        <v>#VALUE!</v>
      </c>
      <c r="X139" s="57" t="e">
        <f t="shared" si="66"/>
        <v>#VALUE!</v>
      </c>
      <c r="Y139" s="57" t="e">
        <f t="shared" si="67"/>
        <v>#VALUE!</v>
      </c>
      <c r="Z139" s="57"/>
      <c r="AA139" s="57"/>
      <c r="AB139" s="57"/>
      <c r="AC139" s="57"/>
      <c r="AD139" s="57"/>
      <c r="AE139" s="57"/>
      <c r="AF139" s="57"/>
      <c r="AG139" s="57"/>
      <c r="AH139" s="57"/>
      <c r="AI139" s="57"/>
      <c r="AJ139" s="57"/>
      <c r="AK139" s="57"/>
      <c r="AL139" s="57"/>
      <c r="AM139" s="57"/>
      <c r="AN139" s="57"/>
      <c r="AO139" s="57"/>
      <c r="AP139" s="57"/>
      <c r="AQ139" s="57"/>
      <c r="AR139" s="57"/>
      <c r="AS139" s="57"/>
    </row>
    <row r="140" spans="1:45">
      <c r="A140" s="57">
        <v>11</v>
      </c>
      <c r="B140" s="57">
        <v>2026</v>
      </c>
      <c r="C140" s="62">
        <f>SUM('4. Metinis CAPEX'!F$9:F$19)</f>
        <v>0</v>
      </c>
      <c r="D140" s="62" cm="1">
        <f t="array" ref="D140">SUMPRODUCT('4. Metinis CAPEX'!F$9:F$19,IFERROR('2. Investicijos'!$N$5:$N$15/'2. Investicijos'!$H$5:$H$15,0))</f>
        <v>0</v>
      </c>
      <c r="E140" s="62" cm="1">
        <f t="array" ref="E140">SUMPRODUCT('4. Metinis CAPEX'!F$9:F$19,IFERROR(('2. Investicijos'!$I$5:$I$15+'2. Investicijos'!$J$5:$J$15+'2. Investicijos'!$K$5:$K$15+'2. Investicijos'!$L$5:$L$15)/'2. Investicijos'!$H$5:$H$15,0))</f>
        <v>0</v>
      </c>
      <c r="F140" s="62" cm="1">
        <f t="array" ref="F140">SUM('2. Investicijos'!$H$5:$H$15*IF('2. Investicijos'!$G$5:$G$15&lt;=35,30%,40%))</f>
        <v>0</v>
      </c>
      <c r="G140" s="62" cm="1">
        <f t="array" ref="G140">IF(AND(2026&gt;=2026,2026&lt;2026+'6. Aprašo scenarijus'!$C$4),SUM('2. Investicijos'!$H$5:$H$15*IF('2. Investicijos'!$G$5:$G$15&lt;=35,30%,40%))/'6. Aprašo scenarijus'!$C$4,0)</f>
        <v>0</v>
      </c>
      <c r="H140" s="62">
        <f t="shared" si="61"/>
        <v>0</v>
      </c>
      <c r="I140" s="62">
        <f>SUM(F$5:F$15)</f>
        <v>0</v>
      </c>
      <c r="J140" s="62">
        <f>0</f>
        <v>0</v>
      </c>
      <c r="K140" s="62">
        <f>SUM(Z$5:Z$15)</f>
        <v>0</v>
      </c>
      <c r="L140" s="62">
        <f>SUM(P$5:P$15)</f>
        <v>0</v>
      </c>
      <c r="M140" s="62">
        <f>SUM(AJ$5:AJ$15)</f>
        <v>0</v>
      </c>
      <c r="N140" s="62">
        <f>'3. Finansinės prielaidos'!C30+M140</f>
        <v>0</v>
      </c>
      <c r="O140" s="62">
        <f>'3. Finansinės prielaidos'!C31</f>
        <v>0</v>
      </c>
      <c r="P140" s="62">
        <f>'3. Finansinės prielaidos'!C32</f>
        <v>0</v>
      </c>
      <c r="Q140" s="62" t="e">
        <f t="shared" si="62"/>
        <v>#VALUE!</v>
      </c>
      <c r="R140" s="62" t="e">
        <f>O140+Q140</f>
        <v>#VALUE!</v>
      </c>
      <c r="S140" s="62" t="e" cm="1">
        <f t="array" ref="S140">SUMPRODUCT(--(2026&gt;'2. Investicijos'!$F$5:$F$15),--(2026&lt;='2. Investicijos'!$F$5:$F$15+'2. Investicijos'!$G$5:$G$15),IFERROR(('2. Investicijos'!$M$5:$M$15+IF('2. Investicijos'!$N$5:$N$15&gt;('2. Investicijos'!$H$5:$H$15*IF('2. Investicijos'!$G$5:$G$15&lt;=35,30%,40%)),'2. Investicijos'!$N$5:$N$15-('2. Investicijos'!$H$5:$H$15*IF('2. Investicijos'!$G$5:$G$15&lt;=35,30%,40%)),0)+('2. Investicijos'!$H$5:$H$15*IF('2. Investicijos'!$G$5:$G$15&lt;=35,30%,40%)))/'2. Investicijos'!$G$5:$G$15,0))+SUMPRODUCT(--(2026&gt;'2. Investicijos'!$F$5:$F$15),--(2026&lt;='2. Investicijos'!$F$5:$F$15+'2. Investicijos'!$G$5:$G$15),IFERROR(('2. Investicijos'!$M$5:$M$15+IF('2. Investicijos'!$N$5:$N$15&gt;('2. Investicijos'!$H$5:$H$15*IF('2. Investicijos'!$G$5:$G$15&lt;=35,30%,40%)),'2. Investicijos'!$N$5:$N$15-('2. Investicijos'!$H$5:$H$15*IF('2. Investicijos'!$G$5:$G$15&lt;=35,30%,40%)),0))*(1-((2026-'2. Investicijos'!$F$5:$F$15)-1)/'2. Investicijos'!$G$5:$G$15),0)*'5. 0% scenarijus'!$C$5)</f>
        <v>#VALUE!</v>
      </c>
      <c r="T140" s="62" t="e">
        <f>'3. Finansinės prielaidos'!C29+S140+G140</f>
        <v>#VALUE!</v>
      </c>
      <c r="U140" s="62" t="e">
        <f t="shared" si="63"/>
        <v>#VALUE!</v>
      </c>
      <c r="V140" s="72" t="e">
        <f t="shared" si="64"/>
        <v>#VALUE!</v>
      </c>
      <c r="W140" s="72" t="e">
        <f t="shared" si="65"/>
        <v>#VALUE!</v>
      </c>
      <c r="X140" s="57" t="e">
        <f t="shared" si="66"/>
        <v>#VALUE!</v>
      </c>
      <c r="Y140" s="57" t="e">
        <f t="shared" si="67"/>
        <v>#VALUE!</v>
      </c>
      <c r="Z140" s="57"/>
      <c r="AA140" s="57"/>
      <c r="AB140" s="57"/>
      <c r="AC140" s="57"/>
      <c r="AD140" s="57"/>
      <c r="AE140" s="57"/>
      <c r="AF140" s="57"/>
      <c r="AG140" s="57"/>
      <c r="AH140" s="57"/>
      <c r="AI140" s="57"/>
      <c r="AJ140" s="57"/>
      <c r="AK140" s="57"/>
      <c r="AL140" s="57"/>
      <c r="AM140" s="57"/>
      <c r="AN140" s="57"/>
      <c r="AO140" s="57"/>
      <c r="AP140" s="57"/>
      <c r="AQ140" s="57"/>
      <c r="AR140" s="57"/>
      <c r="AS140" s="57"/>
    </row>
    <row r="141" spans="1:45">
      <c r="A141" s="57">
        <v>11</v>
      </c>
      <c r="B141" s="57">
        <v>2027</v>
      </c>
      <c r="C141" s="62">
        <f>SUM('4. Metinis CAPEX'!G$9:G$19)</f>
        <v>0</v>
      </c>
      <c r="D141" s="62" cm="1">
        <f t="array" ref="D141">SUMPRODUCT('4. Metinis CAPEX'!G$9:G$19,IFERROR('2. Investicijos'!$N$5:$N$15/'2. Investicijos'!$H$5:$H$15,0))</f>
        <v>0</v>
      </c>
      <c r="E141" s="62" cm="1">
        <f t="array" ref="E141">SUMPRODUCT('4. Metinis CAPEX'!G$9:G$19,IFERROR(('2. Investicijos'!$I$5:$I$15+'2. Investicijos'!$J$5:$J$15+'2. Investicijos'!$K$5:$K$15+'2. Investicijos'!$L$5:$L$15)/'2. Investicijos'!$H$5:$H$15,0))</f>
        <v>0</v>
      </c>
      <c r="F141" s="62" cm="1">
        <f t="array" ref="F141">SUM('2. Investicijos'!$H$5:$H$15*IF('2. Investicijos'!$G$5:$G$15&lt;=35,30%,40%))</f>
        <v>0</v>
      </c>
      <c r="G141" s="62" cm="1">
        <f t="array" ref="G141">IF(AND(2027&gt;=2026,2027&lt;2026+'6. Aprašo scenarijus'!$C$4),SUM('2. Investicijos'!$H$5:$H$15*IF('2. Investicijos'!$G$5:$G$15&lt;=35,30%,40%))/'6. Aprašo scenarijus'!$C$4,0)</f>
        <v>0</v>
      </c>
      <c r="H141" s="62">
        <f t="shared" si="61"/>
        <v>0</v>
      </c>
      <c r="I141" s="62">
        <f>SUM(G$5:G$15)</f>
        <v>0</v>
      </c>
      <c r="J141" s="62" t="e" cm="1">
        <f t="array" ref="J141">K141+L141+MAX(0,-R140)*IFERROR(SUMPRODUCT(IF('2. Investicijos'!$N$5:$N$15&gt;('2. Investicijos'!$H$5:$H$15*IF('2. Investicijos'!$G$5:$G$15&lt;=35,30%,40%)),'2. Investicijos'!$N$5:$N$15-('2. Investicijos'!$H$5:$H$15*IF('2. Investicijos'!$G$5:$G$15&lt;=35,30%,40%)),0),'2. Investicijos'!$O$5:$O$15/100)/SUM(IF('2. Investicijos'!$N$5:$N$15&gt;('2. Investicijos'!$H$5:$H$15*IF('2. Investicijos'!$G$5:$G$15&lt;=35,30%,40%)),'2. Investicijos'!$N$5:$N$15-('2. Investicijos'!$H$5:$H$15*IF('2. Investicijos'!$G$5:$G$15&lt;=35,30%,40%)),0)),0)</f>
        <v>#VALUE!</v>
      </c>
      <c r="K141" s="62">
        <f>SUM(AA$5:AA$15)</f>
        <v>0</v>
      </c>
      <c r="L141" s="62">
        <f>SUM(Q$5:Q$15)</f>
        <v>0</v>
      </c>
      <c r="M141" s="62">
        <f>SUM(AK$5:AK$15)</f>
        <v>0</v>
      </c>
      <c r="N141" s="62">
        <f>'3. Finansinės prielaidos'!D30+M141</f>
        <v>0</v>
      </c>
      <c r="O141" s="62">
        <f>'3. Finansinės prielaidos'!D31</f>
        <v>0</v>
      </c>
      <c r="P141" s="62">
        <f>'3. Finansinės prielaidos'!D32</f>
        <v>0</v>
      </c>
      <c r="Q141" s="62" t="e">
        <f t="shared" si="62"/>
        <v>#VALUE!</v>
      </c>
      <c r="R141" s="62" t="e">
        <f>R140+('3. Finansinės prielaidos'!D31-'3. Finansinės prielaidos'!C31)+Q141</f>
        <v>#VALUE!</v>
      </c>
      <c r="S141" s="62" t="e" cm="1">
        <f t="array" ref="S141">SUMPRODUCT(--(2027&gt;'2. Investicijos'!$F$5:$F$15),--(2027&lt;='2. Investicijos'!$F$5:$F$15+'2. Investicijos'!$G$5:$G$15),IFERROR(('2. Investicijos'!$M$5:$M$15+IF('2. Investicijos'!$N$5:$N$15&gt;('2. Investicijos'!$H$5:$H$15*IF('2. Investicijos'!$G$5:$G$15&lt;=35,30%,40%)),'2. Investicijos'!$N$5:$N$15-('2. Investicijos'!$H$5:$H$15*IF('2. Investicijos'!$G$5:$G$15&lt;=35,30%,40%)),0)+('2. Investicijos'!$H$5:$H$15*IF('2. Investicijos'!$G$5:$G$15&lt;=35,30%,40%)))/'2. Investicijos'!$G$5:$G$15,0))+SUMPRODUCT(--(2027&gt;'2. Investicijos'!$F$5:$F$15),--(2027&lt;='2. Investicijos'!$F$5:$F$15+'2. Investicijos'!$G$5:$G$15),IFERROR(('2. Investicijos'!$M$5:$M$15+IF('2. Investicijos'!$N$5:$N$15&gt;('2. Investicijos'!$H$5:$H$15*IF('2. Investicijos'!$G$5:$G$15&lt;=35,30%,40%)),'2. Investicijos'!$N$5:$N$15-('2. Investicijos'!$H$5:$H$15*IF('2. Investicijos'!$G$5:$G$15&lt;=35,30%,40%)),0))*(1-((2027-'2. Investicijos'!$F$5:$F$15)-1)/'2. Investicijos'!$G$5:$G$15),0)*'5. 0% scenarijus'!$C$5)</f>
        <v>#VALUE!</v>
      </c>
      <c r="T141" s="62" t="e">
        <f>'3. Finansinės prielaidos'!D29+S141+G141</f>
        <v>#VALUE!</v>
      </c>
      <c r="U141" s="62" t="e">
        <f t="shared" si="63"/>
        <v>#VALUE!</v>
      </c>
      <c r="V141" s="72" t="e">
        <f t="shared" si="64"/>
        <v>#VALUE!</v>
      </c>
      <c r="W141" s="72" t="e">
        <f t="shared" si="65"/>
        <v>#VALUE!</v>
      </c>
      <c r="X141" s="57" t="e">
        <f t="shared" si="66"/>
        <v>#VALUE!</v>
      </c>
      <c r="Y141" s="57" t="e">
        <f t="shared" si="67"/>
        <v>#VALUE!</v>
      </c>
      <c r="Z141" s="57"/>
      <c r="AA141" s="57"/>
      <c r="AB141" s="57"/>
      <c r="AC141" s="57"/>
      <c r="AD141" s="57"/>
      <c r="AE141" s="57"/>
      <c r="AF141" s="57"/>
      <c r="AG141" s="57"/>
      <c r="AH141" s="57"/>
      <c r="AI141" s="57"/>
      <c r="AJ141" s="57"/>
      <c r="AK141" s="57"/>
      <c r="AL141" s="57"/>
      <c r="AM141" s="57"/>
      <c r="AN141" s="57"/>
      <c r="AO141" s="57"/>
      <c r="AP141" s="57"/>
      <c r="AQ141" s="57"/>
      <c r="AR141" s="57"/>
      <c r="AS141" s="57"/>
    </row>
    <row r="142" spans="1:45">
      <c r="A142" s="57">
        <v>11</v>
      </c>
      <c r="B142" s="57">
        <v>2028</v>
      </c>
      <c r="C142" s="62">
        <f>SUM('4. Metinis CAPEX'!H$9:H$19)</f>
        <v>0</v>
      </c>
      <c r="D142" s="62" cm="1">
        <f t="array" ref="D142">SUMPRODUCT('4. Metinis CAPEX'!H$9:H$19,IFERROR('2. Investicijos'!$N$5:$N$15/'2. Investicijos'!$H$5:$H$15,0))</f>
        <v>0</v>
      </c>
      <c r="E142" s="62" cm="1">
        <f t="array" ref="E142">SUMPRODUCT('4. Metinis CAPEX'!H$9:H$19,IFERROR(('2. Investicijos'!$I$5:$I$15+'2. Investicijos'!$J$5:$J$15+'2. Investicijos'!$K$5:$K$15+'2. Investicijos'!$L$5:$L$15)/'2. Investicijos'!$H$5:$H$15,0))</f>
        <v>0</v>
      </c>
      <c r="F142" s="62" cm="1">
        <f t="array" ref="F142">SUM('2. Investicijos'!$H$5:$H$15*IF('2. Investicijos'!$G$5:$G$15&lt;=35,30%,40%))</f>
        <v>0</v>
      </c>
      <c r="G142" s="62" cm="1">
        <f t="array" ref="G142">IF(AND(2028&gt;=2026,2028&lt;2026+'6. Aprašo scenarijus'!$C$4),SUM('2. Investicijos'!$H$5:$H$15*IF('2. Investicijos'!$G$5:$G$15&lt;=35,30%,40%))/'6. Aprašo scenarijus'!$C$4,0)</f>
        <v>0</v>
      </c>
      <c r="H142" s="62">
        <f t="shared" si="61"/>
        <v>0</v>
      </c>
      <c r="I142" s="62">
        <f>SUM(H$5:H$15)</f>
        <v>0</v>
      </c>
      <c r="J142" s="62" t="e" cm="1">
        <f t="array" ref="J142">K142+L142+MAX(0,-R141)*IFERROR(SUMPRODUCT(IF('2. Investicijos'!$N$5:$N$15&gt;('2. Investicijos'!$H$5:$H$15*IF('2. Investicijos'!$G$5:$G$15&lt;=35,30%,40%)),'2. Investicijos'!$N$5:$N$15-('2. Investicijos'!$H$5:$H$15*IF('2. Investicijos'!$G$5:$G$15&lt;=35,30%,40%)),0),'2. Investicijos'!$O$5:$O$15/100)/SUM(IF('2. Investicijos'!$N$5:$N$15&gt;('2. Investicijos'!$H$5:$H$15*IF('2. Investicijos'!$G$5:$G$15&lt;=35,30%,40%)),'2. Investicijos'!$N$5:$N$15-('2. Investicijos'!$H$5:$H$15*IF('2. Investicijos'!$G$5:$G$15&lt;=35,30%,40%)),0)),0)</f>
        <v>#VALUE!</v>
      </c>
      <c r="K142" s="62">
        <f>SUM(AB$5:AB$15)</f>
        <v>0</v>
      </c>
      <c r="L142" s="62">
        <f>SUM(R$5:R$15)</f>
        <v>0</v>
      </c>
      <c r="M142" s="62">
        <f>SUM(AL$5:AL$15)</f>
        <v>0</v>
      </c>
      <c r="N142" s="62">
        <f>'3. Finansinės prielaidos'!E30+M142</f>
        <v>0</v>
      </c>
      <c r="O142" s="62">
        <f>'3. Finansinės prielaidos'!E31</f>
        <v>0</v>
      </c>
      <c r="P142" s="62">
        <f>'3. Finansinės prielaidos'!E32</f>
        <v>0</v>
      </c>
      <c r="Q142" s="62" t="e">
        <f t="shared" si="62"/>
        <v>#VALUE!</v>
      </c>
      <c r="R142" s="62" t="e">
        <f>R141+('3. Finansinės prielaidos'!E31-'3. Finansinės prielaidos'!D31)+Q142</f>
        <v>#VALUE!</v>
      </c>
      <c r="S142" s="62" t="e" cm="1">
        <f t="array" ref="S142">SUMPRODUCT(--(2028&gt;'2. Investicijos'!$F$5:$F$15),--(2028&lt;='2. Investicijos'!$F$5:$F$15+'2. Investicijos'!$G$5:$G$15),IFERROR(('2. Investicijos'!$M$5:$M$15+IF('2. Investicijos'!$N$5:$N$15&gt;('2. Investicijos'!$H$5:$H$15*IF('2. Investicijos'!$G$5:$G$15&lt;=35,30%,40%)),'2. Investicijos'!$N$5:$N$15-('2. Investicijos'!$H$5:$H$15*IF('2. Investicijos'!$G$5:$G$15&lt;=35,30%,40%)),0)+('2. Investicijos'!$H$5:$H$15*IF('2. Investicijos'!$G$5:$G$15&lt;=35,30%,40%)))/'2. Investicijos'!$G$5:$G$15,0))+SUMPRODUCT(--(2028&gt;'2. Investicijos'!$F$5:$F$15),--(2028&lt;='2. Investicijos'!$F$5:$F$15+'2. Investicijos'!$G$5:$G$15),IFERROR(('2. Investicijos'!$M$5:$M$15+IF('2. Investicijos'!$N$5:$N$15&gt;('2. Investicijos'!$H$5:$H$15*IF('2. Investicijos'!$G$5:$G$15&lt;=35,30%,40%)),'2. Investicijos'!$N$5:$N$15-('2. Investicijos'!$H$5:$H$15*IF('2. Investicijos'!$G$5:$G$15&lt;=35,30%,40%)),0))*(1-((2028-'2. Investicijos'!$F$5:$F$15)-1)/'2. Investicijos'!$G$5:$G$15),0)*'5. 0% scenarijus'!$C$5)</f>
        <v>#VALUE!</v>
      </c>
      <c r="T142" s="62" t="e">
        <f>'3. Finansinės prielaidos'!E29+S142+G142</f>
        <v>#VALUE!</v>
      </c>
      <c r="U142" s="62" t="e">
        <f t="shared" si="63"/>
        <v>#VALUE!</v>
      </c>
      <c r="V142" s="72" t="e">
        <f t="shared" si="64"/>
        <v>#VALUE!</v>
      </c>
      <c r="W142" s="72" t="e">
        <f t="shared" si="65"/>
        <v>#VALUE!</v>
      </c>
      <c r="X142" s="57" t="e">
        <f t="shared" si="66"/>
        <v>#VALUE!</v>
      </c>
      <c r="Y142" s="57" t="e">
        <f t="shared" si="67"/>
        <v>#VALUE!</v>
      </c>
      <c r="Z142" s="57"/>
      <c r="AA142" s="57"/>
      <c r="AB142" s="57"/>
      <c r="AC142" s="57"/>
      <c r="AD142" s="57"/>
      <c r="AE142" s="57"/>
      <c r="AF142" s="57"/>
      <c r="AG142" s="57"/>
      <c r="AH142" s="57"/>
      <c r="AI142" s="57"/>
      <c r="AJ142" s="57"/>
      <c r="AK142" s="57"/>
      <c r="AL142" s="57"/>
      <c r="AM142" s="57"/>
      <c r="AN142" s="57"/>
      <c r="AO142" s="57"/>
      <c r="AP142" s="57"/>
      <c r="AQ142" s="57"/>
      <c r="AR142" s="57"/>
      <c r="AS142" s="57"/>
    </row>
    <row r="143" spans="1:45">
      <c r="A143" s="57">
        <v>11</v>
      </c>
      <c r="B143" s="57">
        <v>2029</v>
      </c>
      <c r="C143" s="62">
        <f>SUM('4. Metinis CAPEX'!I$9:I$19)</f>
        <v>0</v>
      </c>
      <c r="D143" s="62" cm="1">
        <f t="array" ref="D143">SUMPRODUCT('4. Metinis CAPEX'!I$9:I$19,IFERROR('2. Investicijos'!$N$5:$N$15/'2. Investicijos'!$H$5:$H$15,0))</f>
        <v>0</v>
      </c>
      <c r="E143" s="62" cm="1">
        <f t="array" ref="E143">SUMPRODUCT('4. Metinis CAPEX'!I$9:I$19,IFERROR(('2. Investicijos'!$I$5:$I$15+'2. Investicijos'!$J$5:$J$15+'2. Investicijos'!$K$5:$K$15+'2. Investicijos'!$L$5:$L$15)/'2. Investicijos'!$H$5:$H$15,0))</f>
        <v>0</v>
      </c>
      <c r="F143" s="62" cm="1">
        <f t="array" ref="F143">SUM('2. Investicijos'!$H$5:$H$15*IF('2. Investicijos'!$G$5:$G$15&lt;=35,30%,40%))</f>
        <v>0</v>
      </c>
      <c r="G143" s="62" cm="1">
        <f t="array" ref="G143">IF(AND(2029&gt;=2026,2029&lt;2026+'6. Aprašo scenarijus'!$C$4),SUM('2. Investicijos'!$H$5:$H$15*IF('2. Investicijos'!$G$5:$G$15&lt;=35,30%,40%))/'6. Aprašo scenarijus'!$C$4,0)</f>
        <v>0</v>
      </c>
      <c r="H143" s="62">
        <f t="shared" si="61"/>
        <v>0</v>
      </c>
      <c r="I143" s="62">
        <f>SUM(I$5:I$15)</f>
        <v>0</v>
      </c>
      <c r="J143" s="62" t="e" cm="1">
        <f t="array" ref="J143">K143+L143+MAX(0,-R142)*IFERROR(SUMPRODUCT(IF('2. Investicijos'!$N$5:$N$15&gt;('2. Investicijos'!$H$5:$H$15*IF('2. Investicijos'!$G$5:$G$15&lt;=35,30%,40%)),'2. Investicijos'!$N$5:$N$15-('2. Investicijos'!$H$5:$H$15*IF('2. Investicijos'!$G$5:$G$15&lt;=35,30%,40%)),0),'2. Investicijos'!$O$5:$O$15/100)/SUM(IF('2. Investicijos'!$N$5:$N$15&gt;('2. Investicijos'!$H$5:$H$15*IF('2. Investicijos'!$G$5:$G$15&lt;=35,30%,40%)),'2. Investicijos'!$N$5:$N$15-('2. Investicijos'!$H$5:$H$15*IF('2. Investicijos'!$G$5:$G$15&lt;=35,30%,40%)),0)),0)</f>
        <v>#VALUE!</v>
      </c>
      <c r="K143" s="62">
        <f>SUM(AC$5:AC$15)</f>
        <v>0</v>
      </c>
      <c r="L143" s="62">
        <f>SUM(S$5:S$15)</f>
        <v>0</v>
      </c>
      <c r="M143" s="62">
        <f>SUM(AM$5:AM$15)</f>
        <v>0</v>
      </c>
      <c r="N143" s="62">
        <f>'3. Finansinės prielaidos'!F30+M143</f>
        <v>0</v>
      </c>
      <c r="O143" s="62">
        <f>'3. Finansinės prielaidos'!F31</f>
        <v>0</v>
      </c>
      <c r="P143" s="62">
        <f>'3. Finansinės prielaidos'!F32</f>
        <v>0</v>
      </c>
      <c r="Q143" s="62" t="e">
        <f t="shared" si="62"/>
        <v>#VALUE!</v>
      </c>
      <c r="R143" s="62" t="e">
        <f>R142+('3. Finansinės prielaidos'!F31-'3. Finansinės prielaidos'!E31)+Q143</f>
        <v>#VALUE!</v>
      </c>
      <c r="S143" s="62" t="e" cm="1">
        <f t="array" ref="S143">SUMPRODUCT(--(2029&gt;'2. Investicijos'!$F$5:$F$15),--(2029&lt;='2. Investicijos'!$F$5:$F$15+'2. Investicijos'!$G$5:$G$15),IFERROR(('2. Investicijos'!$M$5:$M$15+IF('2. Investicijos'!$N$5:$N$15&gt;('2. Investicijos'!$H$5:$H$15*IF('2. Investicijos'!$G$5:$G$15&lt;=35,30%,40%)),'2. Investicijos'!$N$5:$N$15-('2. Investicijos'!$H$5:$H$15*IF('2. Investicijos'!$G$5:$G$15&lt;=35,30%,40%)),0)+('2. Investicijos'!$H$5:$H$15*IF('2. Investicijos'!$G$5:$G$15&lt;=35,30%,40%)))/'2. Investicijos'!$G$5:$G$15,0))+SUMPRODUCT(--(2029&gt;'2. Investicijos'!$F$5:$F$15),--(2029&lt;='2. Investicijos'!$F$5:$F$15+'2. Investicijos'!$G$5:$G$15),IFERROR(('2. Investicijos'!$M$5:$M$15+IF('2. Investicijos'!$N$5:$N$15&gt;('2. Investicijos'!$H$5:$H$15*IF('2. Investicijos'!$G$5:$G$15&lt;=35,30%,40%)),'2. Investicijos'!$N$5:$N$15-('2. Investicijos'!$H$5:$H$15*IF('2. Investicijos'!$G$5:$G$15&lt;=35,30%,40%)),0))*(1-((2029-'2. Investicijos'!$F$5:$F$15)-1)/'2. Investicijos'!$G$5:$G$15),0)*'5. 0% scenarijus'!$C$5)</f>
        <v>#VALUE!</v>
      </c>
      <c r="T143" s="62" t="e">
        <f>'3. Finansinės prielaidos'!F29+S143+G143</f>
        <v>#VALUE!</v>
      </c>
      <c r="U143" s="62" t="e">
        <f t="shared" si="63"/>
        <v>#VALUE!</v>
      </c>
      <c r="V143" s="72" t="e">
        <f t="shared" si="64"/>
        <v>#VALUE!</v>
      </c>
      <c r="W143" s="72" t="e">
        <f t="shared" si="65"/>
        <v>#VALUE!</v>
      </c>
      <c r="X143" s="57" t="e">
        <f t="shared" si="66"/>
        <v>#VALUE!</v>
      </c>
      <c r="Y143" s="57" t="e">
        <f t="shared" si="67"/>
        <v>#VALUE!</v>
      </c>
      <c r="Z143" s="57"/>
      <c r="AA143" s="57"/>
      <c r="AB143" s="57"/>
      <c r="AC143" s="57"/>
      <c r="AD143" s="57"/>
      <c r="AE143" s="57"/>
      <c r="AF143" s="57"/>
      <c r="AG143" s="57"/>
      <c r="AH143" s="57"/>
      <c r="AI143" s="57"/>
      <c r="AJ143" s="57"/>
      <c r="AK143" s="57"/>
      <c r="AL143" s="57"/>
      <c r="AM143" s="57"/>
      <c r="AN143" s="57"/>
      <c r="AO143" s="57"/>
      <c r="AP143" s="57"/>
      <c r="AQ143" s="57"/>
      <c r="AR143" s="57"/>
      <c r="AS143" s="57"/>
    </row>
    <row r="144" spans="1:45">
      <c r="A144" s="57">
        <v>11</v>
      </c>
      <c r="B144" s="57">
        <v>2030</v>
      </c>
      <c r="C144" s="62">
        <f>SUM('4. Metinis CAPEX'!J$9:J$19)</f>
        <v>0</v>
      </c>
      <c r="D144" s="62" cm="1">
        <f t="array" ref="D144">SUMPRODUCT('4. Metinis CAPEX'!J$9:J$19,IFERROR('2. Investicijos'!$N$5:$N$15/'2. Investicijos'!$H$5:$H$15,0))</f>
        <v>0</v>
      </c>
      <c r="E144" s="62" cm="1">
        <f t="array" ref="E144">SUMPRODUCT('4. Metinis CAPEX'!J$9:J$19,IFERROR(('2. Investicijos'!$I$5:$I$15+'2. Investicijos'!$J$5:$J$15+'2. Investicijos'!$K$5:$K$15+'2. Investicijos'!$L$5:$L$15)/'2. Investicijos'!$H$5:$H$15,0))</f>
        <v>0</v>
      </c>
      <c r="F144" s="62" cm="1">
        <f t="array" ref="F144">SUM('2. Investicijos'!$H$5:$H$15*IF('2. Investicijos'!$G$5:$G$15&lt;=35,30%,40%))</f>
        <v>0</v>
      </c>
      <c r="G144" s="62" cm="1">
        <f t="array" ref="G144">IF(AND(2030&gt;=2026,2030&lt;2026+'6. Aprašo scenarijus'!$C$4),SUM('2. Investicijos'!$H$5:$H$15*IF('2. Investicijos'!$G$5:$G$15&lt;=35,30%,40%))/'6. Aprašo scenarijus'!$C$4,0)</f>
        <v>0</v>
      </c>
      <c r="H144" s="62">
        <f t="shared" si="61"/>
        <v>0</v>
      </c>
      <c r="I144" s="62">
        <f>SUM(J$5:J$15)</f>
        <v>0</v>
      </c>
      <c r="J144" s="62" t="e" cm="1">
        <f t="array" ref="J144">K144+L144+MAX(0,-R143)*IFERROR(SUMPRODUCT(IF('2. Investicijos'!$N$5:$N$15&gt;('2. Investicijos'!$H$5:$H$15*IF('2. Investicijos'!$G$5:$G$15&lt;=35,30%,40%)),'2. Investicijos'!$N$5:$N$15-('2. Investicijos'!$H$5:$H$15*IF('2. Investicijos'!$G$5:$G$15&lt;=35,30%,40%)),0),'2. Investicijos'!$O$5:$O$15/100)/SUM(IF('2. Investicijos'!$N$5:$N$15&gt;('2. Investicijos'!$H$5:$H$15*IF('2. Investicijos'!$G$5:$G$15&lt;=35,30%,40%)),'2. Investicijos'!$N$5:$N$15-('2. Investicijos'!$H$5:$H$15*IF('2. Investicijos'!$G$5:$G$15&lt;=35,30%,40%)),0)),0)</f>
        <v>#VALUE!</v>
      </c>
      <c r="K144" s="62">
        <f>SUM(AD$5:AD$15)</f>
        <v>0</v>
      </c>
      <c r="L144" s="62">
        <f>SUM(T$5:T$15)</f>
        <v>0</v>
      </c>
      <c r="M144" s="62">
        <f>SUM(AN$5:AN$15)</f>
        <v>0</v>
      </c>
      <c r="N144" s="62">
        <f>'3. Finansinės prielaidos'!G30+M144</f>
        <v>0</v>
      </c>
      <c r="O144" s="62">
        <f>'3. Finansinės prielaidos'!G31</f>
        <v>0</v>
      </c>
      <c r="P144" s="62">
        <f>'3. Finansinės prielaidos'!G32</f>
        <v>0</v>
      </c>
      <c r="Q144" s="62" t="e">
        <f t="shared" si="62"/>
        <v>#VALUE!</v>
      </c>
      <c r="R144" s="62" t="e">
        <f>R143+('3. Finansinės prielaidos'!G31-'3. Finansinės prielaidos'!F31)+Q144</f>
        <v>#VALUE!</v>
      </c>
      <c r="S144" s="62" t="e" cm="1">
        <f t="array" ref="S144">SUMPRODUCT(--(2030&gt;'2. Investicijos'!$F$5:$F$15),--(2030&lt;='2. Investicijos'!$F$5:$F$15+'2. Investicijos'!$G$5:$G$15),IFERROR(('2. Investicijos'!$M$5:$M$15+IF('2. Investicijos'!$N$5:$N$15&gt;('2. Investicijos'!$H$5:$H$15*IF('2. Investicijos'!$G$5:$G$15&lt;=35,30%,40%)),'2. Investicijos'!$N$5:$N$15-('2. Investicijos'!$H$5:$H$15*IF('2. Investicijos'!$G$5:$G$15&lt;=35,30%,40%)),0)+('2. Investicijos'!$H$5:$H$15*IF('2. Investicijos'!$G$5:$G$15&lt;=35,30%,40%)))/'2. Investicijos'!$G$5:$G$15,0))+SUMPRODUCT(--(2030&gt;'2. Investicijos'!$F$5:$F$15),--(2030&lt;='2. Investicijos'!$F$5:$F$15+'2. Investicijos'!$G$5:$G$15),IFERROR(('2. Investicijos'!$M$5:$M$15+IF('2. Investicijos'!$N$5:$N$15&gt;('2. Investicijos'!$H$5:$H$15*IF('2. Investicijos'!$G$5:$G$15&lt;=35,30%,40%)),'2. Investicijos'!$N$5:$N$15-('2. Investicijos'!$H$5:$H$15*IF('2. Investicijos'!$G$5:$G$15&lt;=35,30%,40%)),0))*(1-((2030-'2. Investicijos'!$F$5:$F$15)-1)/'2. Investicijos'!$G$5:$G$15),0)*'5. 0% scenarijus'!$C$5)</f>
        <v>#VALUE!</v>
      </c>
      <c r="T144" s="62" t="e">
        <f>'3. Finansinės prielaidos'!G29+S144+G144</f>
        <v>#VALUE!</v>
      </c>
      <c r="U144" s="62" t="e">
        <f t="shared" si="63"/>
        <v>#VALUE!</v>
      </c>
      <c r="V144" s="72" t="e">
        <f t="shared" si="64"/>
        <v>#VALUE!</v>
      </c>
      <c r="W144" s="72" t="e">
        <f t="shared" si="65"/>
        <v>#VALUE!</v>
      </c>
      <c r="X144" s="57" t="e">
        <f t="shared" si="66"/>
        <v>#VALUE!</v>
      </c>
      <c r="Y144" s="57" t="e">
        <f t="shared" si="67"/>
        <v>#VALUE!</v>
      </c>
      <c r="Z144" s="57"/>
      <c r="AA144" s="57"/>
      <c r="AB144" s="57"/>
      <c r="AC144" s="57"/>
      <c r="AD144" s="57"/>
      <c r="AE144" s="57"/>
      <c r="AF144" s="57"/>
      <c r="AG144" s="57"/>
      <c r="AH144" s="57"/>
      <c r="AI144" s="57"/>
      <c r="AJ144" s="57"/>
      <c r="AK144" s="57"/>
      <c r="AL144" s="57"/>
      <c r="AM144" s="57"/>
      <c r="AN144" s="57"/>
      <c r="AO144" s="57"/>
      <c r="AP144" s="57"/>
      <c r="AQ144" s="57"/>
      <c r="AR144" s="57"/>
      <c r="AS144" s="57"/>
    </row>
    <row r="145" spans="1:45">
      <c r="A145" s="57">
        <v>11</v>
      </c>
      <c r="B145" s="57">
        <v>2031</v>
      </c>
      <c r="C145" s="62">
        <f>SUM('4. Metinis CAPEX'!K$9:K$19)</f>
        <v>0</v>
      </c>
      <c r="D145" s="62" cm="1">
        <f t="array" ref="D145">SUMPRODUCT('4. Metinis CAPEX'!K$9:K$19,IFERROR('2. Investicijos'!$N$5:$N$15/'2. Investicijos'!$H$5:$H$15,0))</f>
        <v>0</v>
      </c>
      <c r="E145" s="62" cm="1">
        <f t="array" ref="E145">SUMPRODUCT('4. Metinis CAPEX'!K$9:K$19,IFERROR(('2. Investicijos'!$I$5:$I$15+'2. Investicijos'!$J$5:$J$15+'2. Investicijos'!$K$5:$K$15+'2. Investicijos'!$L$5:$L$15)/'2. Investicijos'!$H$5:$H$15,0))</f>
        <v>0</v>
      </c>
      <c r="F145" s="62" cm="1">
        <f t="array" ref="F145">SUM('2. Investicijos'!$H$5:$H$15*IF('2. Investicijos'!$G$5:$G$15&lt;=35,30%,40%))</f>
        <v>0</v>
      </c>
      <c r="G145" s="62" cm="1">
        <f t="array" ref="G145">IF(AND(2031&gt;=2026,2031&lt;2026+'6. Aprašo scenarijus'!$C$4),SUM('2. Investicijos'!$H$5:$H$15*IF('2. Investicijos'!$G$5:$G$15&lt;=35,30%,40%))/'6. Aprašo scenarijus'!$C$4,0)</f>
        <v>0</v>
      </c>
      <c r="H145" s="62">
        <f t="shared" si="61"/>
        <v>0</v>
      </c>
      <c r="I145" s="62">
        <f>SUM(K$5:K$15)</f>
        <v>0</v>
      </c>
      <c r="J145" s="62" t="e" cm="1">
        <f t="array" ref="J145">K145+L145+MAX(0,-R144)*IFERROR(SUMPRODUCT(IF('2. Investicijos'!$N$5:$N$15&gt;('2. Investicijos'!$H$5:$H$15*IF('2. Investicijos'!$G$5:$G$15&lt;=35,30%,40%)),'2. Investicijos'!$N$5:$N$15-('2. Investicijos'!$H$5:$H$15*IF('2. Investicijos'!$G$5:$G$15&lt;=35,30%,40%)),0),'2. Investicijos'!$O$5:$O$15/100)/SUM(IF('2. Investicijos'!$N$5:$N$15&gt;('2. Investicijos'!$H$5:$H$15*IF('2. Investicijos'!$G$5:$G$15&lt;=35,30%,40%)),'2. Investicijos'!$N$5:$N$15-('2. Investicijos'!$H$5:$H$15*IF('2. Investicijos'!$G$5:$G$15&lt;=35,30%,40%)),0)),0)</f>
        <v>#VALUE!</v>
      </c>
      <c r="K145" s="62">
        <f>SUM(AE$5:AE$15)</f>
        <v>0</v>
      </c>
      <c r="L145" s="62">
        <f>SUM(U$5:U$15)</f>
        <v>0</v>
      </c>
      <c r="M145" s="62">
        <f>SUM(AO$5:AO$15)</f>
        <v>0</v>
      </c>
      <c r="N145" s="62">
        <f>'3. Finansinės prielaidos'!H30+M145</f>
        <v>0</v>
      </c>
      <c r="O145" s="62">
        <f>'3. Finansinės prielaidos'!H31</f>
        <v>0</v>
      </c>
      <c r="P145" s="62">
        <f>'3. Finansinės prielaidos'!H32</f>
        <v>0</v>
      </c>
      <c r="Q145" s="62" t="e">
        <f t="shared" si="62"/>
        <v>#VALUE!</v>
      </c>
      <c r="R145" s="62" t="e">
        <f>R144+('3. Finansinės prielaidos'!H31-'3. Finansinės prielaidos'!G31)+Q145</f>
        <v>#VALUE!</v>
      </c>
      <c r="S145" s="62" t="e" cm="1">
        <f t="array" ref="S145">SUMPRODUCT(--(2031&gt;'2. Investicijos'!$F$5:$F$15),--(2031&lt;='2. Investicijos'!$F$5:$F$15+'2. Investicijos'!$G$5:$G$15),IFERROR(('2. Investicijos'!$M$5:$M$15+IF('2. Investicijos'!$N$5:$N$15&gt;('2. Investicijos'!$H$5:$H$15*IF('2. Investicijos'!$G$5:$G$15&lt;=35,30%,40%)),'2. Investicijos'!$N$5:$N$15-('2. Investicijos'!$H$5:$H$15*IF('2. Investicijos'!$G$5:$G$15&lt;=35,30%,40%)),0)+('2. Investicijos'!$H$5:$H$15*IF('2. Investicijos'!$G$5:$G$15&lt;=35,30%,40%)))/'2. Investicijos'!$G$5:$G$15,0))+SUMPRODUCT(--(2031&gt;'2. Investicijos'!$F$5:$F$15),--(2031&lt;='2. Investicijos'!$F$5:$F$15+'2. Investicijos'!$G$5:$G$15),IFERROR(('2. Investicijos'!$M$5:$M$15+IF('2. Investicijos'!$N$5:$N$15&gt;('2. Investicijos'!$H$5:$H$15*IF('2. Investicijos'!$G$5:$G$15&lt;=35,30%,40%)),'2. Investicijos'!$N$5:$N$15-('2. Investicijos'!$H$5:$H$15*IF('2. Investicijos'!$G$5:$G$15&lt;=35,30%,40%)),0))*(1-((2031-'2. Investicijos'!$F$5:$F$15)-1)/'2. Investicijos'!$G$5:$G$15),0)*'5. 0% scenarijus'!$C$5)</f>
        <v>#VALUE!</v>
      </c>
      <c r="T145" s="62" t="e">
        <f>'3. Finansinės prielaidos'!H29+S145+G145</f>
        <v>#VALUE!</v>
      </c>
      <c r="U145" s="62" t="e">
        <f t="shared" si="63"/>
        <v>#VALUE!</v>
      </c>
      <c r="V145" s="72" t="e">
        <f t="shared" si="64"/>
        <v>#VALUE!</v>
      </c>
      <c r="W145" s="72" t="e">
        <f t="shared" si="65"/>
        <v>#VALUE!</v>
      </c>
      <c r="X145" s="57" t="e">
        <f t="shared" si="66"/>
        <v>#VALUE!</v>
      </c>
      <c r="Y145" s="57" t="e">
        <f t="shared" si="67"/>
        <v>#VALUE!</v>
      </c>
      <c r="Z145" s="57"/>
      <c r="AA145" s="57"/>
      <c r="AB145" s="57"/>
      <c r="AC145" s="57"/>
      <c r="AD145" s="57"/>
      <c r="AE145" s="57"/>
      <c r="AF145" s="57"/>
      <c r="AG145" s="57"/>
      <c r="AH145" s="57"/>
      <c r="AI145" s="57"/>
      <c r="AJ145" s="57"/>
      <c r="AK145" s="57"/>
      <c r="AL145" s="57"/>
      <c r="AM145" s="57"/>
      <c r="AN145" s="57"/>
      <c r="AO145" s="57"/>
      <c r="AP145" s="57"/>
      <c r="AQ145" s="57"/>
      <c r="AR145" s="57"/>
      <c r="AS145" s="57"/>
    </row>
    <row r="146" spans="1:45">
      <c r="A146" s="57">
        <v>11</v>
      </c>
      <c r="B146" s="57">
        <v>2032</v>
      </c>
      <c r="C146" s="62">
        <f>SUM('4. Metinis CAPEX'!L$9:L$19)</f>
        <v>0</v>
      </c>
      <c r="D146" s="62" cm="1">
        <f t="array" ref="D146">SUMPRODUCT('4. Metinis CAPEX'!L$9:L$19,IFERROR('2. Investicijos'!$N$5:$N$15/'2. Investicijos'!$H$5:$H$15,0))</f>
        <v>0</v>
      </c>
      <c r="E146" s="62" cm="1">
        <f t="array" ref="E146">SUMPRODUCT('4. Metinis CAPEX'!L$9:L$19,IFERROR(('2. Investicijos'!$I$5:$I$15+'2. Investicijos'!$J$5:$J$15+'2. Investicijos'!$K$5:$K$15+'2. Investicijos'!$L$5:$L$15)/'2. Investicijos'!$H$5:$H$15,0))</f>
        <v>0</v>
      </c>
      <c r="F146" s="62" cm="1">
        <f t="array" ref="F146">SUM('2. Investicijos'!$H$5:$H$15*IF('2. Investicijos'!$G$5:$G$15&lt;=35,30%,40%))</f>
        <v>0</v>
      </c>
      <c r="G146" s="62" cm="1">
        <f t="array" ref="G146">IF(AND(2032&gt;=2026,2032&lt;2026+'6. Aprašo scenarijus'!$C$4),SUM('2. Investicijos'!$H$5:$H$15*IF('2. Investicijos'!$G$5:$G$15&lt;=35,30%,40%))/'6. Aprašo scenarijus'!$C$4,0)</f>
        <v>0</v>
      </c>
      <c r="H146" s="62">
        <f t="shared" si="61"/>
        <v>0</v>
      </c>
      <c r="I146" s="62">
        <f>SUM(L$5:L$15)</f>
        <v>0</v>
      </c>
      <c r="J146" s="62" t="e" cm="1">
        <f t="array" ref="J146">K146+L146+MAX(0,-R145)*IFERROR(SUMPRODUCT(IF('2. Investicijos'!$N$5:$N$15&gt;('2. Investicijos'!$H$5:$H$15*IF('2. Investicijos'!$G$5:$G$15&lt;=35,30%,40%)),'2. Investicijos'!$N$5:$N$15-('2. Investicijos'!$H$5:$H$15*IF('2. Investicijos'!$G$5:$G$15&lt;=35,30%,40%)),0),'2. Investicijos'!$O$5:$O$15/100)/SUM(IF('2. Investicijos'!$N$5:$N$15&gt;('2. Investicijos'!$H$5:$H$15*IF('2. Investicijos'!$G$5:$G$15&lt;=35,30%,40%)),'2. Investicijos'!$N$5:$N$15-('2. Investicijos'!$H$5:$H$15*IF('2. Investicijos'!$G$5:$G$15&lt;=35,30%,40%)),0)),0)</f>
        <v>#VALUE!</v>
      </c>
      <c r="K146" s="62">
        <f>SUM(AF$5:AF$15)</f>
        <v>0</v>
      </c>
      <c r="L146" s="62">
        <f>SUM(V$5:V$15)</f>
        <v>0</v>
      </c>
      <c r="M146" s="62">
        <f>SUM(AP$5:AP$15)</f>
        <v>0</v>
      </c>
      <c r="N146" s="62">
        <f>'3. Finansinės prielaidos'!I30+M146</f>
        <v>0</v>
      </c>
      <c r="O146" s="62">
        <f>'3. Finansinės prielaidos'!I31</f>
        <v>0</v>
      </c>
      <c r="P146" s="62">
        <f>'3. Finansinės prielaidos'!I32</f>
        <v>0</v>
      </c>
      <c r="Q146" s="62" t="e">
        <f t="shared" si="62"/>
        <v>#VALUE!</v>
      </c>
      <c r="R146" s="62" t="e">
        <f>R145+('3. Finansinės prielaidos'!I31-'3. Finansinės prielaidos'!H31)+Q146</f>
        <v>#VALUE!</v>
      </c>
      <c r="S146" s="62" t="e" cm="1">
        <f t="array" ref="S146">SUMPRODUCT(--(2032&gt;'2. Investicijos'!$F$5:$F$15),--(2032&lt;='2. Investicijos'!$F$5:$F$15+'2. Investicijos'!$G$5:$G$15),IFERROR(('2. Investicijos'!$M$5:$M$15+IF('2. Investicijos'!$N$5:$N$15&gt;('2. Investicijos'!$H$5:$H$15*IF('2. Investicijos'!$G$5:$G$15&lt;=35,30%,40%)),'2. Investicijos'!$N$5:$N$15-('2. Investicijos'!$H$5:$H$15*IF('2. Investicijos'!$G$5:$G$15&lt;=35,30%,40%)),0)+('2. Investicijos'!$H$5:$H$15*IF('2. Investicijos'!$G$5:$G$15&lt;=35,30%,40%)))/'2. Investicijos'!$G$5:$G$15,0))+SUMPRODUCT(--(2032&gt;'2. Investicijos'!$F$5:$F$15),--(2032&lt;='2. Investicijos'!$F$5:$F$15+'2. Investicijos'!$G$5:$G$15),IFERROR(('2. Investicijos'!$M$5:$M$15+IF('2. Investicijos'!$N$5:$N$15&gt;('2. Investicijos'!$H$5:$H$15*IF('2. Investicijos'!$G$5:$G$15&lt;=35,30%,40%)),'2. Investicijos'!$N$5:$N$15-('2. Investicijos'!$H$5:$H$15*IF('2. Investicijos'!$G$5:$G$15&lt;=35,30%,40%)),0))*(1-((2032-'2. Investicijos'!$F$5:$F$15)-1)/'2. Investicijos'!$G$5:$G$15),0)*'5. 0% scenarijus'!$C$5)</f>
        <v>#VALUE!</v>
      </c>
      <c r="T146" s="62" t="e">
        <f>'3. Finansinės prielaidos'!I29+S146+G146</f>
        <v>#VALUE!</v>
      </c>
      <c r="U146" s="62" t="e">
        <f t="shared" si="63"/>
        <v>#VALUE!</v>
      </c>
      <c r="V146" s="72" t="e">
        <f t="shared" si="64"/>
        <v>#VALUE!</v>
      </c>
      <c r="W146" s="72" t="e">
        <f t="shared" si="65"/>
        <v>#VALUE!</v>
      </c>
      <c r="X146" s="57" t="e">
        <f t="shared" si="66"/>
        <v>#VALUE!</v>
      </c>
      <c r="Y146" s="57" t="e">
        <f t="shared" si="67"/>
        <v>#VALUE!</v>
      </c>
      <c r="Z146" s="57"/>
      <c r="AA146" s="57"/>
      <c r="AB146" s="57"/>
      <c r="AC146" s="57"/>
      <c r="AD146" s="57"/>
      <c r="AE146" s="57"/>
      <c r="AF146" s="57"/>
      <c r="AG146" s="57"/>
      <c r="AH146" s="57"/>
      <c r="AI146" s="57"/>
      <c r="AJ146" s="57"/>
      <c r="AK146" s="57"/>
      <c r="AL146" s="57"/>
      <c r="AM146" s="57"/>
      <c r="AN146" s="57"/>
      <c r="AO146" s="57"/>
      <c r="AP146" s="57"/>
      <c r="AQ146" s="57"/>
      <c r="AR146" s="57"/>
      <c r="AS146" s="57"/>
    </row>
    <row r="147" spans="1:45">
      <c r="A147" s="57">
        <v>11</v>
      </c>
      <c r="B147" s="57">
        <v>2033</v>
      </c>
      <c r="C147" s="62">
        <f>SUM('4. Metinis CAPEX'!M$9:M$19)</f>
        <v>0</v>
      </c>
      <c r="D147" s="62" cm="1">
        <f t="array" ref="D147">SUMPRODUCT('4. Metinis CAPEX'!M$9:M$19,IFERROR('2. Investicijos'!$N$5:$N$15/'2. Investicijos'!$H$5:$H$15,0))</f>
        <v>0</v>
      </c>
      <c r="E147" s="62" cm="1">
        <f t="array" ref="E147">SUMPRODUCT('4. Metinis CAPEX'!M$9:M$19,IFERROR(('2. Investicijos'!$I$5:$I$15+'2. Investicijos'!$J$5:$J$15+'2. Investicijos'!$K$5:$K$15+'2. Investicijos'!$L$5:$L$15)/'2. Investicijos'!$H$5:$H$15,0))</f>
        <v>0</v>
      </c>
      <c r="F147" s="62" cm="1">
        <f t="array" ref="F147">SUM('2. Investicijos'!$H$5:$H$15*IF('2. Investicijos'!$G$5:$G$15&lt;=35,30%,40%))</f>
        <v>0</v>
      </c>
      <c r="G147" s="62" cm="1">
        <f t="array" ref="G147">IF(AND(2033&gt;=2026,2033&lt;2026+'6. Aprašo scenarijus'!$C$4),SUM('2. Investicijos'!$H$5:$H$15*IF('2. Investicijos'!$G$5:$G$15&lt;=35,30%,40%))/'6. Aprašo scenarijus'!$C$4,0)</f>
        <v>0</v>
      </c>
      <c r="H147" s="62">
        <f t="shared" si="61"/>
        <v>0</v>
      </c>
      <c r="I147" s="62">
        <f>SUM(M$5:M$15)</f>
        <v>0</v>
      </c>
      <c r="J147" s="62" t="e" cm="1">
        <f t="array" ref="J147">K147+L147+MAX(0,-R146)*IFERROR(SUMPRODUCT(IF('2. Investicijos'!$N$5:$N$15&gt;('2. Investicijos'!$H$5:$H$15*IF('2. Investicijos'!$G$5:$G$15&lt;=35,30%,40%)),'2. Investicijos'!$N$5:$N$15-('2. Investicijos'!$H$5:$H$15*IF('2. Investicijos'!$G$5:$G$15&lt;=35,30%,40%)),0),'2. Investicijos'!$O$5:$O$15/100)/SUM(IF('2. Investicijos'!$N$5:$N$15&gt;('2. Investicijos'!$H$5:$H$15*IF('2. Investicijos'!$G$5:$G$15&lt;=35,30%,40%)),'2. Investicijos'!$N$5:$N$15-('2. Investicijos'!$H$5:$H$15*IF('2. Investicijos'!$G$5:$G$15&lt;=35,30%,40%)),0)),0)</f>
        <v>#VALUE!</v>
      </c>
      <c r="K147" s="62">
        <f>SUM(AG$5:AG$15)</f>
        <v>0</v>
      </c>
      <c r="L147" s="62">
        <f>SUM(W$5:W$15)</f>
        <v>0</v>
      </c>
      <c r="M147" s="62">
        <f>SUM(AQ$5:AQ$15)</f>
        <v>0</v>
      </c>
      <c r="N147" s="62">
        <f>'3. Finansinės prielaidos'!J30+M147</f>
        <v>0</v>
      </c>
      <c r="O147" s="62">
        <f>'3. Finansinės prielaidos'!J31</f>
        <v>0</v>
      </c>
      <c r="P147" s="62">
        <f>'3. Finansinės prielaidos'!J32</f>
        <v>0</v>
      </c>
      <c r="Q147" s="62" t="e">
        <f t="shared" si="62"/>
        <v>#VALUE!</v>
      </c>
      <c r="R147" s="62" t="e">
        <f>R146+('3. Finansinės prielaidos'!J31-'3. Finansinės prielaidos'!I31)+Q147</f>
        <v>#VALUE!</v>
      </c>
      <c r="S147" s="62" t="e" cm="1">
        <f t="array" ref="S147">SUMPRODUCT(--(2033&gt;'2. Investicijos'!$F$5:$F$15),--(2033&lt;='2. Investicijos'!$F$5:$F$15+'2. Investicijos'!$G$5:$G$15),IFERROR(('2. Investicijos'!$M$5:$M$15+IF('2. Investicijos'!$N$5:$N$15&gt;('2. Investicijos'!$H$5:$H$15*IF('2. Investicijos'!$G$5:$G$15&lt;=35,30%,40%)),'2. Investicijos'!$N$5:$N$15-('2. Investicijos'!$H$5:$H$15*IF('2. Investicijos'!$G$5:$G$15&lt;=35,30%,40%)),0)+('2. Investicijos'!$H$5:$H$15*IF('2. Investicijos'!$G$5:$G$15&lt;=35,30%,40%)))/'2. Investicijos'!$G$5:$G$15,0))+SUMPRODUCT(--(2033&gt;'2. Investicijos'!$F$5:$F$15),--(2033&lt;='2. Investicijos'!$F$5:$F$15+'2. Investicijos'!$G$5:$G$15),IFERROR(('2. Investicijos'!$M$5:$M$15+IF('2. Investicijos'!$N$5:$N$15&gt;('2. Investicijos'!$H$5:$H$15*IF('2. Investicijos'!$G$5:$G$15&lt;=35,30%,40%)),'2. Investicijos'!$N$5:$N$15-('2. Investicijos'!$H$5:$H$15*IF('2. Investicijos'!$G$5:$G$15&lt;=35,30%,40%)),0))*(1-((2033-'2. Investicijos'!$F$5:$F$15)-1)/'2. Investicijos'!$G$5:$G$15),0)*'5. 0% scenarijus'!$C$5)</f>
        <v>#VALUE!</v>
      </c>
      <c r="T147" s="62" t="e">
        <f>'3. Finansinės prielaidos'!J29+S147+G147</f>
        <v>#VALUE!</v>
      </c>
      <c r="U147" s="62" t="e">
        <f t="shared" si="63"/>
        <v>#VALUE!</v>
      </c>
      <c r="V147" s="72" t="e">
        <f t="shared" si="64"/>
        <v>#VALUE!</v>
      </c>
      <c r="W147" s="72" t="e">
        <f t="shared" si="65"/>
        <v>#VALUE!</v>
      </c>
      <c r="X147" s="57" t="e">
        <f t="shared" si="66"/>
        <v>#VALUE!</v>
      </c>
      <c r="Y147" s="57" t="e">
        <f t="shared" si="67"/>
        <v>#VALUE!</v>
      </c>
      <c r="Z147" s="57"/>
      <c r="AA147" s="57"/>
      <c r="AB147" s="57"/>
      <c r="AC147" s="57"/>
      <c r="AD147" s="57"/>
      <c r="AE147" s="57"/>
      <c r="AF147" s="57"/>
      <c r="AG147" s="57"/>
      <c r="AH147" s="57"/>
      <c r="AI147" s="57"/>
      <c r="AJ147" s="57"/>
      <c r="AK147" s="57"/>
      <c r="AL147" s="57"/>
      <c r="AM147" s="57"/>
      <c r="AN147" s="57"/>
      <c r="AO147" s="57"/>
      <c r="AP147" s="57"/>
      <c r="AQ147" s="57"/>
      <c r="AR147" s="57"/>
      <c r="AS147" s="57"/>
    </row>
    <row r="148" spans="1:45">
      <c r="A148" s="57">
        <v>11</v>
      </c>
      <c r="B148" s="57">
        <v>2034</v>
      </c>
      <c r="C148" s="62">
        <f>SUM('4. Metinis CAPEX'!N$9:N$19)</f>
        <v>0</v>
      </c>
      <c r="D148" s="62" cm="1">
        <f t="array" ref="D148">SUMPRODUCT('4. Metinis CAPEX'!N$9:N$19,IFERROR('2. Investicijos'!$N$5:$N$15/'2. Investicijos'!$H$5:$H$15,0))</f>
        <v>0</v>
      </c>
      <c r="E148" s="62" cm="1">
        <f t="array" ref="E148">SUMPRODUCT('4. Metinis CAPEX'!N$9:N$19,IFERROR(('2. Investicijos'!$I$5:$I$15+'2. Investicijos'!$J$5:$J$15+'2. Investicijos'!$K$5:$K$15+'2. Investicijos'!$L$5:$L$15)/'2. Investicijos'!$H$5:$H$15,0))</f>
        <v>0</v>
      </c>
      <c r="F148" s="62" cm="1">
        <f t="array" ref="F148">SUM('2. Investicijos'!$H$5:$H$15*IF('2. Investicijos'!$G$5:$G$15&lt;=35,30%,40%))</f>
        <v>0</v>
      </c>
      <c r="G148" s="62" cm="1">
        <f t="array" ref="G148">IF(AND(2034&gt;=2026,2034&lt;2026+'6. Aprašo scenarijus'!$C$4),SUM('2. Investicijos'!$H$5:$H$15*IF('2. Investicijos'!$G$5:$G$15&lt;=35,30%,40%))/'6. Aprašo scenarijus'!$C$4,0)</f>
        <v>0</v>
      </c>
      <c r="H148" s="62">
        <f t="shared" si="61"/>
        <v>0</v>
      </c>
      <c r="I148" s="62">
        <f>SUM(N$5:N$15)</f>
        <v>0</v>
      </c>
      <c r="J148" s="62" t="e" cm="1">
        <f t="array" ref="J148">K148+L148+MAX(0,-R147)*IFERROR(SUMPRODUCT(IF('2. Investicijos'!$N$5:$N$15&gt;('2. Investicijos'!$H$5:$H$15*IF('2. Investicijos'!$G$5:$G$15&lt;=35,30%,40%)),'2. Investicijos'!$N$5:$N$15-('2. Investicijos'!$H$5:$H$15*IF('2. Investicijos'!$G$5:$G$15&lt;=35,30%,40%)),0),'2. Investicijos'!$O$5:$O$15/100)/SUM(IF('2. Investicijos'!$N$5:$N$15&gt;('2. Investicijos'!$H$5:$H$15*IF('2. Investicijos'!$G$5:$G$15&lt;=35,30%,40%)),'2. Investicijos'!$N$5:$N$15-('2. Investicijos'!$H$5:$H$15*IF('2. Investicijos'!$G$5:$G$15&lt;=35,30%,40%)),0)),0)</f>
        <v>#VALUE!</v>
      </c>
      <c r="K148" s="62">
        <f>SUM(AH$5:AH$15)</f>
        <v>0</v>
      </c>
      <c r="L148" s="62">
        <f>SUM(X$5:X$15)</f>
        <v>0</v>
      </c>
      <c r="M148" s="62">
        <f>SUM(AR$5:AR$15)</f>
        <v>0</v>
      </c>
      <c r="N148" s="62">
        <f>'3. Finansinės prielaidos'!K30+M148</f>
        <v>0</v>
      </c>
      <c r="O148" s="62">
        <f>'3. Finansinės prielaidos'!K31</f>
        <v>0</v>
      </c>
      <c r="P148" s="62">
        <f>'3. Finansinės prielaidos'!K32</f>
        <v>0</v>
      </c>
      <c r="Q148" s="62" t="e">
        <f t="shared" si="62"/>
        <v>#VALUE!</v>
      </c>
      <c r="R148" s="62" t="e">
        <f>R147+('3. Finansinės prielaidos'!K31-'3. Finansinės prielaidos'!J31)+Q148</f>
        <v>#VALUE!</v>
      </c>
      <c r="S148" s="62" t="e" cm="1">
        <f t="array" ref="S148">SUMPRODUCT(--(2034&gt;'2. Investicijos'!$F$5:$F$15),--(2034&lt;='2. Investicijos'!$F$5:$F$15+'2. Investicijos'!$G$5:$G$15),IFERROR(('2. Investicijos'!$M$5:$M$15+IF('2. Investicijos'!$N$5:$N$15&gt;('2. Investicijos'!$H$5:$H$15*IF('2. Investicijos'!$G$5:$G$15&lt;=35,30%,40%)),'2. Investicijos'!$N$5:$N$15-('2. Investicijos'!$H$5:$H$15*IF('2. Investicijos'!$G$5:$G$15&lt;=35,30%,40%)),0)+('2. Investicijos'!$H$5:$H$15*IF('2. Investicijos'!$G$5:$G$15&lt;=35,30%,40%)))/'2. Investicijos'!$G$5:$G$15,0))+SUMPRODUCT(--(2034&gt;'2. Investicijos'!$F$5:$F$15),--(2034&lt;='2. Investicijos'!$F$5:$F$15+'2. Investicijos'!$G$5:$G$15),IFERROR(('2. Investicijos'!$M$5:$M$15+IF('2. Investicijos'!$N$5:$N$15&gt;('2. Investicijos'!$H$5:$H$15*IF('2. Investicijos'!$G$5:$G$15&lt;=35,30%,40%)),'2. Investicijos'!$N$5:$N$15-('2. Investicijos'!$H$5:$H$15*IF('2. Investicijos'!$G$5:$G$15&lt;=35,30%,40%)),0))*(1-((2034-'2. Investicijos'!$F$5:$F$15)-1)/'2. Investicijos'!$G$5:$G$15),0)*'5. 0% scenarijus'!$C$5)</f>
        <v>#VALUE!</v>
      </c>
      <c r="T148" s="62" t="e">
        <f>'3. Finansinės prielaidos'!K29+S148+G148</f>
        <v>#VALUE!</v>
      </c>
      <c r="U148" s="62" t="e">
        <f t="shared" si="63"/>
        <v>#VALUE!</v>
      </c>
      <c r="V148" s="72" t="e">
        <f t="shared" si="64"/>
        <v>#VALUE!</v>
      </c>
      <c r="W148" s="72" t="e">
        <f t="shared" si="65"/>
        <v>#VALUE!</v>
      </c>
      <c r="X148" s="57" t="e">
        <f t="shared" si="66"/>
        <v>#VALUE!</v>
      </c>
      <c r="Y148" s="57" t="e">
        <f t="shared" si="67"/>
        <v>#VALUE!</v>
      </c>
      <c r="Z148" s="57"/>
      <c r="AA148" s="57"/>
      <c r="AB148" s="57"/>
      <c r="AC148" s="57"/>
      <c r="AD148" s="57"/>
      <c r="AE148" s="57"/>
      <c r="AF148" s="57"/>
      <c r="AG148" s="57"/>
      <c r="AH148" s="57"/>
      <c r="AI148" s="57"/>
      <c r="AJ148" s="57"/>
      <c r="AK148" s="57"/>
      <c r="AL148" s="57"/>
      <c r="AM148" s="57"/>
      <c r="AN148" s="57"/>
      <c r="AO148" s="57"/>
      <c r="AP148" s="57"/>
      <c r="AQ148" s="57"/>
      <c r="AR148" s="57"/>
      <c r="AS148" s="57"/>
    </row>
    <row r="149" spans="1:45">
      <c r="A149" s="57">
        <v>11</v>
      </c>
      <c r="B149" s="57">
        <v>2035</v>
      </c>
      <c r="C149" s="62">
        <f>SUM('4. Metinis CAPEX'!O$9:O$19)</f>
        <v>0</v>
      </c>
      <c r="D149" s="62" cm="1">
        <f t="array" ref="D149">SUMPRODUCT('4. Metinis CAPEX'!O$9:O$19,IFERROR('2. Investicijos'!$N$5:$N$15/'2. Investicijos'!$H$5:$H$15,0))</f>
        <v>0</v>
      </c>
      <c r="E149" s="62" cm="1">
        <f t="array" ref="E149">SUMPRODUCT('4. Metinis CAPEX'!O$9:O$19,IFERROR(('2. Investicijos'!$I$5:$I$15+'2. Investicijos'!$J$5:$J$15+'2. Investicijos'!$K$5:$K$15+'2. Investicijos'!$L$5:$L$15)/'2. Investicijos'!$H$5:$H$15,0))</f>
        <v>0</v>
      </c>
      <c r="F149" s="62" cm="1">
        <f t="array" ref="F149">SUM('2. Investicijos'!$H$5:$H$15*IF('2. Investicijos'!$G$5:$G$15&lt;=35,30%,40%))</f>
        <v>0</v>
      </c>
      <c r="G149" s="62" cm="1">
        <f t="array" ref="G149">IF(AND(2035&gt;=2026,2035&lt;2026+'6. Aprašo scenarijus'!$C$4),SUM('2. Investicijos'!$H$5:$H$15*IF('2. Investicijos'!$G$5:$G$15&lt;=35,30%,40%))/'6. Aprašo scenarijus'!$C$4,0)</f>
        <v>0</v>
      </c>
      <c r="H149" s="62">
        <f t="shared" si="61"/>
        <v>0</v>
      </c>
      <c r="I149" s="62">
        <f>SUM(O$5:O$15)</f>
        <v>0</v>
      </c>
      <c r="J149" s="62" t="e" cm="1">
        <f t="array" ref="J149">K149+L149+MAX(0,-R148)*IFERROR(SUMPRODUCT(IF('2. Investicijos'!$N$5:$N$15&gt;('2. Investicijos'!$H$5:$H$15*IF('2. Investicijos'!$G$5:$G$15&lt;=35,30%,40%)),'2. Investicijos'!$N$5:$N$15-('2. Investicijos'!$H$5:$H$15*IF('2. Investicijos'!$G$5:$G$15&lt;=35,30%,40%)),0),'2. Investicijos'!$O$5:$O$15/100)/SUM(IF('2. Investicijos'!$N$5:$N$15&gt;('2. Investicijos'!$H$5:$H$15*IF('2. Investicijos'!$G$5:$G$15&lt;=35,30%,40%)),'2. Investicijos'!$N$5:$N$15-('2. Investicijos'!$H$5:$H$15*IF('2. Investicijos'!$G$5:$G$15&lt;=35,30%,40%)),0)),0)</f>
        <v>#VALUE!</v>
      </c>
      <c r="K149" s="62">
        <f>SUM(AI$5:AI$15)</f>
        <v>0</v>
      </c>
      <c r="L149" s="62">
        <f>SUM(Y$5:Y$15)</f>
        <v>0</v>
      </c>
      <c r="M149" s="62">
        <f>SUM(AS$5:AS$15)</f>
        <v>0</v>
      </c>
      <c r="N149" s="62">
        <f>'3. Finansinės prielaidos'!L30+M149</f>
        <v>0</v>
      </c>
      <c r="O149" s="62">
        <f>'3. Finansinės prielaidos'!L31</f>
        <v>0</v>
      </c>
      <c r="P149" s="62">
        <f>'3. Finansinės prielaidos'!L32</f>
        <v>0</v>
      </c>
      <c r="Q149" s="62" t="e">
        <f t="shared" si="62"/>
        <v>#VALUE!</v>
      </c>
      <c r="R149" s="62" t="e">
        <f>R148+('3. Finansinės prielaidos'!L31-'3. Finansinės prielaidos'!K31)+Q149</f>
        <v>#VALUE!</v>
      </c>
      <c r="S149" s="62" t="e" cm="1">
        <f t="array" ref="S149">SUMPRODUCT(--(2035&gt;'2. Investicijos'!$F$5:$F$15),--(2035&lt;='2. Investicijos'!$F$5:$F$15+'2. Investicijos'!$G$5:$G$15),IFERROR(('2. Investicijos'!$M$5:$M$15+IF('2. Investicijos'!$N$5:$N$15&gt;('2. Investicijos'!$H$5:$H$15*IF('2. Investicijos'!$G$5:$G$15&lt;=35,30%,40%)),'2. Investicijos'!$N$5:$N$15-('2. Investicijos'!$H$5:$H$15*IF('2. Investicijos'!$G$5:$G$15&lt;=35,30%,40%)),0)+('2. Investicijos'!$H$5:$H$15*IF('2. Investicijos'!$G$5:$G$15&lt;=35,30%,40%)))/'2. Investicijos'!$G$5:$G$15,0))+SUMPRODUCT(--(2035&gt;'2. Investicijos'!$F$5:$F$15),--(2035&lt;='2. Investicijos'!$F$5:$F$15+'2. Investicijos'!$G$5:$G$15),IFERROR(('2. Investicijos'!$M$5:$M$15+IF('2. Investicijos'!$N$5:$N$15&gt;('2. Investicijos'!$H$5:$H$15*IF('2. Investicijos'!$G$5:$G$15&lt;=35,30%,40%)),'2. Investicijos'!$N$5:$N$15-('2. Investicijos'!$H$5:$H$15*IF('2. Investicijos'!$G$5:$G$15&lt;=35,30%,40%)),0))*(1-((2035-'2. Investicijos'!$F$5:$F$15)-1)/'2. Investicijos'!$G$5:$G$15),0)*'5. 0% scenarijus'!$C$5)</f>
        <v>#VALUE!</v>
      </c>
      <c r="T149" s="62" t="e">
        <f>'3. Finansinės prielaidos'!L29+S149+G149</f>
        <v>#VALUE!</v>
      </c>
      <c r="U149" s="62" t="e">
        <f t="shared" si="63"/>
        <v>#VALUE!</v>
      </c>
      <c r="V149" s="72" t="e">
        <f t="shared" si="64"/>
        <v>#VALUE!</v>
      </c>
      <c r="W149" s="72" t="e">
        <f t="shared" si="65"/>
        <v>#VALUE!</v>
      </c>
      <c r="X149" s="57" t="e">
        <f t="shared" si="66"/>
        <v>#VALUE!</v>
      </c>
      <c r="Y149" s="57" t="e">
        <f t="shared" si="67"/>
        <v>#VALUE!</v>
      </c>
      <c r="Z149" s="57"/>
      <c r="AA149" s="57"/>
      <c r="AB149" s="57"/>
      <c r="AC149" s="57"/>
      <c r="AD149" s="57"/>
      <c r="AE149" s="57"/>
      <c r="AF149" s="57"/>
      <c r="AG149" s="57"/>
      <c r="AH149" s="57"/>
      <c r="AI149" s="57"/>
      <c r="AJ149" s="57"/>
      <c r="AK149" s="57"/>
      <c r="AL149" s="57"/>
      <c r="AM149" s="57"/>
      <c r="AN149" s="57"/>
      <c r="AO149" s="57"/>
      <c r="AP149" s="57"/>
      <c r="AQ149" s="57"/>
      <c r="AR149" s="57"/>
      <c r="AS149" s="57"/>
    </row>
    <row r="150" spans="1:45">
      <c r="A150" s="57">
        <v>12</v>
      </c>
      <c r="B150" s="57">
        <v>2026</v>
      </c>
      <c r="C150" s="62">
        <f>SUM('4. Metinis CAPEX'!F$9:F$20)</f>
        <v>0</v>
      </c>
      <c r="D150" s="62" cm="1">
        <f t="array" ref="D150">SUMPRODUCT('4. Metinis CAPEX'!F$9:F$20,IFERROR('2. Investicijos'!$N$5:$N$16/'2. Investicijos'!$H$5:$H$16,0))</f>
        <v>0</v>
      </c>
      <c r="E150" s="62" cm="1">
        <f t="array" ref="E150">SUMPRODUCT('4. Metinis CAPEX'!F$9:F$20,IFERROR(('2. Investicijos'!$I$5:$I$16+'2. Investicijos'!$J$5:$J$16+'2. Investicijos'!$K$5:$K$16+'2. Investicijos'!$L$5:$L$16)/'2. Investicijos'!$H$5:$H$16,0))</f>
        <v>0</v>
      </c>
      <c r="F150" s="62" cm="1">
        <f t="array" ref="F150">SUM('2. Investicijos'!$H$5:$H$16*IF('2. Investicijos'!$G$5:$G$16&lt;=35,30%,40%))</f>
        <v>0</v>
      </c>
      <c r="G150" s="62" cm="1">
        <f t="array" ref="G150">IF(AND(2026&gt;=2026,2026&lt;2026+'6. Aprašo scenarijus'!$C$4),SUM('2. Investicijos'!$H$5:$H$16*IF('2. Investicijos'!$G$5:$G$16&lt;=35,30%,40%))/'6. Aprašo scenarijus'!$C$4,0)</f>
        <v>0</v>
      </c>
      <c r="H150" s="62">
        <f t="shared" si="61"/>
        <v>0</v>
      </c>
      <c r="I150" s="62">
        <f>SUM(F$5:F$16)</f>
        <v>0</v>
      </c>
      <c r="J150" s="62">
        <f>0</f>
        <v>0</v>
      </c>
      <c r="K150" s="62">
        <f>SUM(Z$5:Z$16)</f>
        <v>0</v>
      </c>
      <c r="L150" s="62">
        <f>SUM(P$5:P$16)</f>
        <v>0</v>
      </c>
      <c r="M150" s="62">
        <f>SUM(AJ$5:AJ$16)</f>
        <v>0</v>
      </c>
      <c r="N150" s="62">
        <f>'3. Finansinės prielaidos'!C30+M150</f>
        <v>0</v>
      </c>
      <c r="O150" s="62">
        <f>'3. Finansinės prielaidos'!C31</f>
        <v>0</v>
      </c>
      <c r="P150" s="62">
        <f>'3. Finansinės prielaidos'!C32</f>
        <v>0</v>
      </c>
      <c r="Q150" s="62" t="e">
        <f t="shared" si="62"/>
        <v>#VALUE!</v>
      </c>
      <c r="R150" s="62" t="e">
        <f>O150+Q150</f>
        <v>#VALUE!</v>
      </c>
      <c r="S150" s="62" t="e" cm="1">
        <f t="array" ref="S150">SUMPRODUCT(--(2026&gt;'2. Investicijos'!$F$5:$F$16),--(2026&lt;='2. Investicijos'!$F$5:$F$16+'2. Investicijos'!$G$5:$G$16),IFERROR(('2. Investicijos'!$M$5:$M$16+IF('2. Investicijos'!$N$5:$N$16&gt;('2. Investicijos'!$H$5:$H$16*IF('2. Investicijos'!$G$5:$G$16&lt;=35,30%,40%)),'2. Investicijos'!$N$5:$N$16-('2. Investicijos'!$H$5:$H$16*IF('2. Investicijos'!$G$5:$G$16&lt;=35,30%,40%)),0)+('2. Investicijos'!$H$5:$H$16*IF('2. Investicijos'!$G$5:$G$16&lt;=35,30%,40%)))/'2. Investicijos'!$G$5:$G$16,0))+SUMPRODUCT(--(2026&gt;'2. Investicijos'!$F$5:$F$16),--(2026&lt;='2. Investicijos'!$F$5:$F$16+'2. Investicijos'!$G$5:$G$16),IFERROR(('2. Investicijos'!$M$5:$M$16+IF('2. Investicijos'!$N$5:$N$16&gt;('2. Investicijos'!$H$5:$H$16*IF('2. Investicijos'!$G$5:$G$16&lt;=35,30%,40%)),'2. Investicijos'!$N$5:$N$16-('2. Investicijos'!$H$5:$H$16*IF('2. Investicijos'!$G$5:$G$16&lt;=35,30%,40%)),0))*(1-((2026-'2. Investicijos'!$F$5:$F$16)-1)/'2. Investicijos'!$G$5:$G$16),0)*'5. 0% scenarijus'!$C$5)</f>
        <v>#VALUE!</v>
      </c>
      <c r="T150" s="62" t="e">
        <f>'3. Finansinės prielaidos'!C29+S150+G150</f>
        <v>#VALUE!</v>
      </c>
      <c r="U150" s="62" t="e">
        <f t="shared" si="63"/>
        <v>#VALUE!</v>
      </c>
      <c r="V150" s="72" t="e">
        <f t="shared" si="64"/>
        <v>#VALUE!</v>
      </c>
      <c r="W150" s="72" t="e">
        <f t="shared" si="65"/>
        <v>#VALUE!</v>
      </c>
      <c r="X150" s="57" t="e">
        <f t="shared" si="66"/>
        <v>#VALUE!</v>
      </c>
      <c r="Y150" s="57" t="e">
        <f t="shared" si="67"/>
        <v>#VALUE!</v>
      </c>
      <c r="Z150" s="57"/>
      <c r="AA150" s="57"/>
      <c r="AB150" s="57"/>
      <c r="AC150" s="57"/>
      <c r="AD150" s="57"/>
      <c r="AE150" s="57"/>
      <c r="AF150" s="57"/>
      <c r="AG150" s="57"/>
      <c r="AH150" s="57"/>
      <c r="AI150" s="57"/>
      <c r="AJ150" s="57"/>
      <c r="AK150" s="57"/>
      <c r="AL150" s="57"/>
      <c r="AM150" s="57"/>
      <c r="AN150" s="57"/>
      <c r="AO150" s="57"/>
      <c r="AP150" s="57"/>
      <c r="AQ150" s="57"/>
      <c r="AR150" s="57"/>
      <c r="AS150" s="57"/>
    </row>
    <row r="151" spans="1:45">
      <c r="A151" s="57">
        <v>12</v>
      </c>
      <c r="B151" s="57">
        <v>2027</v>
      </c>
      <c r="C151" s="62">
        <f>SUM('4. Metinis CAPEX'!G$9:G$20)</f>
        <v>0</v>
      </c>
      <c r="D151" s="62" cm="1">
        <f t="array" ref="D151">SUMPRODUCT('4. Metinis CAPEX'!G$9:G$20,IFERROR('2. Investicijos'!$N$5:$N$16/'2. Investicijos'!$H$5:$H$16,0))</f>
        <v>0</v>
      </c>
      <c r="E151" s="62" cm="1">
        <f t="array" ref="E151">SUMPRODUCT('4. Metinis CAPEX'!G$9:G$20,IFERROR(('2. Investicijos'!$I$5:$I$16+'2. Investicijos'!$J$5:$J$16+'2. Investicijos'!$K$5:$K$16+'2. Investicijos'!$L$5:$L$16)/'2. Investicijos'!$H$5:$H$16,0))</f>
        <v>0</v>
      </c>
      <c r="F151" s="62" cm="1">
        <f t="array" ref="F151">SUM('2. Investicijos'!$H$5:$H$16*IF('2. Investicijos'!$G$5:$G$16&lt;=35,30%,40%))</f>
        <v>0</v>
      </c>
      <c r="G151" s="62" cm="1">
        <f t="array" ref="G151">IF(AND(2027&gt;=2026,2027&lt;2026+'6. Aprašo scenarijus'!$C$4),SUM('2. Investicijos'!$H$5:$H$16*IF('2. Investicijos'!$G$5:$G$16&lt;=35,30%,40%))/'6. Aprašo scenarijus'!$C$4,0)</f>
        <v>0</v>
      </c>
      <c r="H151" s="62">
        <f t="shared" si="61"/>
        <v>0</v>
      </c>
      <c r="I151" s="62">
        <f>SUM(G$5:G$16)</f>
        <v>0</v>
      </c>
      <c r="J151" s="62" t="e" cm="1">
        <f t="array" ref="J151">K151+L151+MAX(0,-R150)*IFERROR(SUMPRODUCT(IF('2. Investicijos'!$N$5:$N$16&gt;('2. Investicijos'!$H$5:$H$16*IF('2. Investicijos'!$G$5:$G$16&lt;=35,30%,40%)),'2. Investicijos'!$N$5:$N$16-('2. Investicijos'!$H$5:$H$16*IF('2. Investicijos'!$G$5:$G$16&lt;=35,30%,40%)),0),'2. Investicijos'!$O$5:$O$16/100)/SUM(IF('2. Investicijos'!$N$5:$N$16&gt;('2. Investicijos'!$H$5:$H$16*IF('2. Investicijos'!$G$5:$G$16&lt;=35,30%,40%)),'2. Investicijos'!$N$5:$N$16-('2. Investicijos'!$H$5:$H$16*IF('2. Investicijos'!$G$5:$G$16&lt;=35,30%,40%)),0)),0)</f>
        <v>#VALUE!</v>
      </c>
      <c r="K151" s="62">
        <f>SUM(AA$5:AA$16)</f>
        <v>0</v>
      </c>
      <c r="L151" s="62">
        <f>SUM(Q$5:Q$16)</f>
        <v>0</v>
      </c>
      <c r="M151" s="62">
        <f>SUM(AK$5:AK$16)</f>
        <v>0</v>
      </c>
      <c r="N151" s="62">
        <f>'3. Finansinės prielaidos'!D30+M151</f>
        <v>0</v>
      </c>
      <c r="O151" s="62">
        <f>'3. Finansinės prielaidos'!D31</f>
        <v>0</v>
      </c>
      <c r="P151" s="62">
        <f>'3. Finansinės prielaidos'!D32</f>
        <v>0</v>
      </c>
      <c r="Q151" s="62" t="e">
        <f t="shared" si="62"/>
        <v>#VALUE!</v>
      </c>
      <c r="R151" s="62" t="e">
        <f>R150+('3. Finansinės prielaidos'!D31-'3. Finansinės prielaidos'!C31)+Q151</f>
        <v>#VALUE!</v>
      </c>
      <c r="S151" s="62" t="e" cm="1">
        <f t="array" ref="S151">SUMPRODUCT(--(2027&gt;'2. Investicijos'!$F$5:$F$16),--(2027&lt;='2. Investicijos'!$F$5:$F$16+'2. Investicijos'!$G$5:$G$16),IFERROR(('2. Investicijos'!$M$5:$M$16+IF('2. Investicijos'!$N$5:$N$16&gt;('2. Investicijos'!$H$5:$H$16*IF('2. Investicijos'!$G$5:$G$16&lt;=35,30%,40%)),'2. Investicijos'!$N$5:$N$16-('2. Investicijos'!$H$5:$H$16*IF('2. Investicijos'!$G$5:$G$16&lt;=35,30%,40%)),0)+('2. Investicijos'!$H$5:$H$16*IF('2. Investicijos'!$G$5:$G$16&lt;=35,30%,40%)))/'2. Investicijos'!$G$5:$G$16,0))+SUMPRODUCT(--(2027&gt;'2. Investicijos'!$F$5:$F$16),--(2027&lt;='2. Investicijos'!$F$5:$F$16+'2. Investicijos'!$G$5:$G$16),IFERROR(('2. Investicijos'!$M$5:$M$16+IF('2. Investicijos'!$N$5:$N$16&gt;('2. Investicijos'!$H$5:$H$16*IF('2. Investicijos'!$G$5:$G$16&lt;=35,30%,40%)),'2. Investicijos'!$N$5:$N$16-('2. Investicijos'!$H$5:$H$16*IF('2. Investicijos'!$G$5:$G$16&lt;=35,30%,40%)),0))*(1-((2027-'2. Investicijos'!$F$5:$F$16)-1)/'2. Investicijos'!$G$5:$G$16),0)*'5. 0% scenarijus'!$C$5)</f>
        <v>#VALUE!</v>
      </c>
      <c r="T151" s="62" t="e">
        <f>'3. Finansinės prielaidos'!D29+S151+G151</f>
        <v>#VALUE!</v>
      </c>
      <c r="U151" s="62" t="e">
        <f t="shared" si="63"/>
        <v>#VALUE!</v>
      </c>
      <c r="V151" s="72" t="e">
        <f t="shared" si="64"/>
        <v>#VALUE!</v>
      </c>
      <c r="W151" s="72" t="e">
        <f t="shared" si="65"/>
        <v>#VALUE!</v>
      </c>
      <c r="X151" s="57" t="e">
        <f t="shared" si="66"/>
        <v>#VALUE!</v>
      </c>
      <c r="Y151" s="57" t="e">
        <f t="shared" si="67"/>
        <v>#VALUE!</v>
      </c>
      <c r="Z151" s="57"/>
      <c r="AA151" s="57"/>
      <c r="AB151" s="57"/>
      <c r="AC151" s="57"/>
      <c r="AD151" s="57"/>
      <c r="AE151" s="57"/>
      <c r="AF151" s="57"/>
      <c r="AG151" s="57"/>
      <c r="AH151" s="57"/>
      <c r="AI151" s="57"/>
      <c r="AJ151" s="57"/>
      <c r="AK151" s="57"/>
      <c r="AL151" s="57"/>
      <c r="AM151" s="57"/>
      <c r="AN151" s="57"/>
      <c r="AO151" s="57"/>
      <c r="AP151" s="57"/>
      <c r="AQ151" s="57"/>
      <c r="AR151" s="57"/>
      <c r="AS151" s="57"/>
    </row>
    <row r="152" spans="1:45">
      <c r="A152" s="57">
        <v>12</v>
      </c>
      <c r="B152" s="57">
        <v>2028</v>
      </c>
      <c r="C152" s="62">
        <f>SUM('4. Metinis CAPEX'!H$9:H$20)</f>
        <v>0</v>
      </c>
      <c r="D152" s="62" cm="1">
        <f t="array" ref="D152">SUMPRODUCT('4. Metinis CAPEX'!H$9:H$20,IFERROR('2. Investicijos'!$N$5:$N$16/'2. Investicijos'!$H$5:$H$16,0))</f>
        <v>0</v>
      </c>
      <c r="E152" s="62" cm="1">
        <f t="array" ref="E152">SUMPRODUCT('4. Metinis CAPEX'!H$9:H$20,IFERROR(('2. Investicijos'!$I$5:$I$16+'2. Investicijos'!$J$5:$J$16+'2. Investicijos'!$K$5:$K$16+'2. Investicijos'!$L$5:$L$16)/'2. Investicijos'!$H$5:$H$16,0))</f>
        <v>0</v>
      </c>
      <c r="F152" s="62" cm="1">
        <f t="array" ref="F152">SUM('2. Investicijos'!$H$5:$H$16*IF('2. Investicijos'!$G$5:$G$16&lt;=35,30%,40%))</f>
        <v>0</v>
      </c>
      <c r="G152" s="62" cm="1">
        <f t="array" ref="G152">IF(AND(2028&gt;=2026,2028&lt;2026+'6. Aprašo scenarijus'!$C$4),SUM('2. Investicijos'!$H$5:$H$16*IF('2. Investicijos'!$G$5:$G$16&lt;=35,30%,40%))/'6. Aprašo scenarijus'!$C$4,0)</f>
        <v>0</v>
      </c>
      <c r="H152" s="62">
        <f t="shared" si="61"/>
        <v>0</v>
      </c>
      <c r="I152" s="62">
        <f>SUM(H$5:H$16)</f>
        <v>0</v>
      </c>
      <c r="J152" s="62" t="e" cm="1">
        <f t="array" ref="J152">K152+L152+MAX(0,-R151)*IFERROR(SUMPRODUCT(IF('2. Investicijos'!$N$5:$N$16&gt;('2. Investicijos'!$H$5:$H$16*IF('2. Investicijos'!$G$5:$G$16&lt;=35,30%,40%)),'2. Investicijos'!$N$5:$N$16-('2. Investicijos'!$H$5:$H$16*IF('2. Investicijos'!$G$5:$G$16&lt;=35,30%,40%)),0),'2. Investicijos'!$O$5:$O$16/100)/SUM(IF('2. Investicijos'!$N$5:$N$16&gt;('2. Investicijos'!$H$5:$H$16*IF('2. Investicijos'!$G$5:$G$16&lt;=35,30%,40%)),'2. Investicijos'!$N$5:$N$16-('2. Investicijos'!$H$5:$H$16*IF('2. Investicijos'!$G$5:$G$16&lt;=35,30%,40%)),0)),0)</f>
        <v>#VALUE!</v>
      </c>
      <c r="K152" s="62">
        <f>SUM(AB$5:AB$16)</f>
        <v>0</v>
      </c>
      <c r="L152" s="62">
        <f>SUM(R$5:R$16)</f>
        <v>0</v>
      </c>
      <c r="M152" s="62">
        <f>SUM(AL$5:AL$16)</f>
        <v>0</v>
      </c>
      <c r="N152" s="62">
        <f>'3. Finansinės prielaidos'!E30+M152</f>
        <v>0</v>
      </c>
      <c r="O152" s="62">
        <f>'3. Finansinės prielaidos'!E31</f>
        <v>0</v>
      </c>
      <c r="P152" s="62">
        <f>'3. Finansinės prielaidos'!E32</f>
        <v>0</v>
      </c>
      <c r="Q152" s="62" t="e">
        <f t="shared" si="62"/>
        <v>#VALUE!</v>
      </c>
      <c r="R152" s="62" t="e">
        <f>R151+('3. Finansinės prielaidos'!E31-'3. Finansinės prielaidos'!D31)+Q152</f>
        <v>#VALUE!</v>
      </c>
      <c r="S152" s="62" t="e" cm="1">
        <f t="array" ref="S152">SUMPRODUCT(--(2028&gt;'2. Investicijos'!$F$5:$F$16),--(2028&lt;='2. Investicijos'!$F$5:$F$16+'2. Investicijos'!$G$5:$G$16),IFERROR(('2. Investicijos'!$M$5:$M$16+IF('2. Investicijos'!$N$5:$N$16&gt;('2. Investicijos'!$H$5:$H$16*IF('2. Investicijos'!$G$5:$G$16&lt;=35,30%,40%)),'2. Investicijos'!$N$5:$N$16-('2. Investicijos'!$H$5:$H$16*IF('2. Investicijos'!$G$5:$G$16&lt;=35,30%,40%)),0)+('2. Investicijos'!$H$5:$H$16*IF('2. Investicijos'!$G$5:$G$16&lt;=35,30%,40%)))/'2. Investicijos'!$G$5:$G$16,0))+SUMPRODUCT(--(2028&gt;'2. Investicijos'!$F$5:$F$16),--(2028&lt;='2. Investicijos'!$F$5:$F$16+'2. Investicijos'!$G$5:$G$16),IFERROR(('2. Investicijos'!$M$5:$M$16+IF('2. Investicijos'!$N$5:$N$16&gt;('2. Investicijos'!$H$5:$H$16*IF('2. Investicijos'!$G$5:$G$16&lt;=35,30%,40%)),'2. Investicijos'!$N$5:$N$16-('2. Investicijos'!$H$5:$H$16*IF('2. Investicijos'!$G$5:$G$16&lt;=35,30%,40%)),0))*(1-((2028-'2. Investicijos'!$F$5:$F$16)-1)/'2. Investicijos'!$G$5:$G$16),0)*'5. 0% scenarijus'!$C$5)</f>
        <v>#VALUE!</v>
      </c>
      <c r="T152" s="62" t="e">
        <f>'3. Finansinės prielaidos'!E29+S152+G152</f>
        <v>#VALUE!</v>
      </c>
      <c r="U152" s="62" t="e">
        <f t="shared" si="63"/>
        <v>#VALUE!</v>
      </c>
      <c r="V152" s="72" t="e">
        <f t="shared" si="64"/>
        <v>#VALUE!</v>
      </c>
      <c r="W152" s="72" t="e">
        <f t="shared" si="65"/>
        <v>#VALUE!</v>
      </c>
      <c r="X152" s="57" t="e">
        <f t="shared" si="66"/>
        <v>#VALUE!</v>
      </c>
      <c r="Y152" s="57" t="e">
        <f t="shared" si="67"/>
        <v>#VALUE!</v>
      </c>
      <c r="Z152" s="57"/>
      <c r="AA152" s="57"/>
      <c r="AB152" s="57"/>
      <c r="AC152" s="57"/>
      <c r="AD152" s="57"/>
      <c r="AE152" s="57"/>
      <c r="AF152" s="57"/>
      <c r="AG152" s="57"/>
      <c r="AH152" s="57"/>
      <c r="AI152" s="57"/>
      <c r="AJ152" s="57"/>
      <c r="AK152" s="57"/>
      <c r="AL152" s="57"/>
      <c r="AM152" s="57"/>
      <c r="AN152" s="57"/>
      <c r="AO152" s="57"/>
      <c r="AP152" s="57"/>
      <c r="AQ152" s="57"/>
      <c r="AR152" s="57"/>
      <c r="AS152" s="57"/>
    </row>
    <row r="153" spans="1:45">
      <c r="A153" s="57">
        <v>12</v>
      </c>
      <c r="B153" s="57">
        <v>2029</v>
      </c>
      <c r="C153" s="62">
        <f>SUM('4. Metinis CAPEX'!I$9:I$20)</f>
        <v>0</v>
      </c>
      <c r="D153" s="62" cm="1">
        <f t="array" ref="D153">SUMPRODUCT('4. Metinis CAPEX'!I$9:I$20,IFERROR('2. Investicijos'!$N$5:$N$16/'2. Investicijos'!$H$5:$H$16,0))</f>
        <v>0</v>
      </c>
      <c r="E153" s="62" cm="1">
        <f t="array" ref="E153">SUMPRODUCT('4. Metinis CAPEX'!I$9:I$20,IFERROR(('2. Investicijos'!$I$5:$I$16+'2. Investicijos'!$J$5:$J$16+'2. Investicijos'!$K$5:$K$16+'2. Investicijos'!$L$5:$L$16)/'2. Investicijos'!$H$5:$H$16,0))</f>
        <v>0</v>
      </c>
      <c r="F153" s="62" cm="1">
        <f t="array" ref="F153">SUM('2. Investicijos'!$H$5:$H$16*IF('2. Investicijos'!$G$5:$G$16&lt;=35,30%,40%))</f>
        <v>0</v>
      </c>
      <c r="G153" s="62" cm="1">
        <f t="array" ref="G153">IF(AND(2029&gt;=2026,2029&lt;2026+'6. Aprašo scenarijus'!$C$4),SUM('2. Investicijos'!$H$5:$H$16*IF('2. Investicijos'!$G$5:$G$16&lt;=35,30%,40%))/'6. Aprašo scenarijus'!$C$4,0)</f>
        <v>0</v>
      </c>
      <c r="H153" s="62">
        <f t="shared" si="61"/>
        <v>0</v>
      </c>
      <c r="I153" s="62">
        <f>SUM(I$5:I$16)</f>
        <v>0</v>
      </c>
      <c r="J153" s="62" t="e" cm="1">
        <f t="array" ref="J153">K153+L153+MAX(0,-R152)*IFERROR(SUMPRODUCT(IF('2. Investicijos'!$N$5:$N$16&gt;('2. Investicijos'!$H$5:$H$16*IF('2. Investicijos'!$G$5:$G$16&lt;=35,30%,40%)),'2. Investicijos'!$N$5:$N$16-('2. Investicijos'!$H$5:$H$16*IF('2. Investicijos'!$G$5:$G$16&lt;=35,30%,40%)),0),'2. Investicijos'!$O$5:$O$16/100)/SUM(IF('2. Investicijos'!$N$5:$N$16&gt;('2. Investicijos'!$H$5:$H$16*IF('2. Investicijos'!$G$5:$G$16&lt;=35,30%,40%)),'2. Investicijos'!$N$5:$N$16-('2. Investicijos'!$H$5:$H$16*IF('2. Investicijos'!$G$5:$G$16&lt;=35,30%,40%)),0)),0)</f>
        <v>#VALUE!</v>
      </c>
      <c r="K153" s="62">
        <f>SUM(AC$5:AC$16)</f>
        <v>0</v>
      </c>
      <c r="L153" s="62">
        <f>SUM(S$5:S$16)</f>
        <v>0</v>
      </c>
      <c r="M153" s="62">
        <f>SUM(AM$5:AM$16)</f>
        <v>0</v>
      </c>
      <c r="N153" s="62">
        <f>'3. Finansinės prielaidos'!F30+M153</f>
        <v>0</v>
      </c>
      <c r="O153" s="62">
        <f>'3. Finansinės prielaidos'!F31</f>
        <v>0</v>
      </c>
      <c r="P153" s="62">
        <f>'3. Finansinės prielaidos'!F32</f>
        <v>0</v>
      </c>
      <c r="Q153" s="62" t="e">
        <f t="shared" si="62"/>
        <v>#VALUE!</v>
      </c>
      <c r="R153" s="62" t="e">
        <f>R152+('3. Finansinės prielaidos'!F31-'3. Finansinės prielaidos'!E31)+Q153</f>
        <v>#VALUE!</v>
      </c>
      <c r="S153" s="62" t="e" cm="1">
        <f t="array" ref="S153">SUMPRODUCT(--(2029&gt;'2. Investicijos'!$F$5:$F$16),--(2029&lt;='2. Investicijos'!$F$5:$F$16+'2. Investicijos'!$G$5:$G$16),IFERROR(('2. Investicijos'!$M$5:$M$16+IF('2. Investicijos'!$N$5:$N$16&gt;('2. Investicijos'!$H$5:$H$16*IF('2. Investicijos'!$G$5:$G$16&lt;=35,30%,40%)),'2. Investicijos'!$N$5:$N$16-('2. Investicijos'!$H$5:$H$16*IF('2. Investicijos'!$G$5:$G$16&lt;=35,30%,40%)),0)+('2. Investicijos'!$H$5:$H$16*IF('2. Investicijos'!$G$5:$G$16&lt;=35,30%,40%)))/'2. Investicijos'!$G$5:$G$16,0))+SUMPRODUCT(--(2029&gt;'2. Investicijos'!$F$5:$F$16),--(2029&lt;='2. Investicijos'!$F$5:$F$16+'2. Investicijos'!$G$5:$G$16),IFERROR(('2. Investicijos'!$M$5:$M$16+IF('2. Investicijos'!$N$5:$N$16&gt;('2. Investicijos'!$H$5:$H$16*IF('2. Investicijos'!$G$5:$G$16&lt;=35,30%,40%)),'2. Investicijos'!$N$5:$N$16-('2. Investicijos'!$H$5:$H$16*IF('2. Investicijos'!$G$5:$G$16&lt;=35,30%,40%)),0))*(1-((2029-'2. Investicijos'!$F$5:$F$16)-1)/'2. Investicijos'!$G$5:$G$16),0)*'5. 0% scenarijus'!$C$5)</f>
        <v>#VALUE!</v>
      </c>
      <c r="T153" s="62" t="e">
        <f>'3. Finansinės prielaidos'!F29+S153+G153</f>
        <v>#VALUE!</v>
      </c>
      <c r="U153" s="62" t="e">
        <f t="shared" si="63"/>
        <v>#VALUE!</v>
      </c>
      <c r="V153" s="72" t="e">
        <f t="shared" si="64"/>
        <v>#VALUE!</v>
      </c>
      <c r="W153" s="72" t="e">
        <f t="shared" si="65"/>
        <v>#VALUE!</v>
      </c>
      <c r="X153" s="57" t="e">
        <f t="shared" si="66"/>
        <v>#VALUE!</v>
      </c>
      <c r="Y153" s="57" t="e">
        <f t="shared" si="67"/>
        <v>#VALUE!</v>
      </c>
      <c r="Z153" s="57"/>
      <c r="AA153" s="57"/>
      <c r="AB153" s="57"/>
      <c r="AC153" s="57"/>
      <c r="AD153" s="57"/>
      <c r="AE153" s="57"/>
      <c r="AF153" s="57"/>
      <c r="AG153" s="57"/>
      <c r="AH153" s="57"/>
      <c r="AI153" s="57"/>
      <c r="AJ153" s="57"/>
      <c r="AK153" s="57"/>
      <c r="AL153" s="57"/>
      <c r="AM153" s="57"/>
      <c r="AN153" s="57"/>
      <c r="AO153" s="57"/>
      <c r="AP153" s="57"/>
      <c r="AQ153" s="57"/>
      <c r="AR153" s="57"/>
      <c r="AS153" s="57"/>
    </row>
    <row r="154" spans="1:45">
      <c r="A154" s="57">
        <v>12</v>
      </c>
      <c r="B154" s="57">
        <v>2030</v>
      </c>
      <c r="C154" s="62">
        <f>SUM('4. Metinis CAPEX'!J$9:J$20)</f>
        <v>0</v>
      </c>
      <c r="D154" s="62" cm="1">
        <f t="array" ref="D154">SUMPRODUCT('4. Metinis CAPEX'!J$9:J$20,IFERROR('2. Investicijos'!$N$5:$N$16/'2. Investicijos'!$H$5:$H$16,0))</f>
        <v>0</v>
      </c>
      <c r="E154" s="62" cm="1">
        <f t="array" ref="E154">SUMPRODUCT('4. Metinis CAPEX'!J$9:J$20,IFERROR(('2. Investicijos'!$I$5:$I$16+'2. Investicijos'!$J$5:$J$16+'2. Investicijos'!$K$5:$K$16+'2. Investicijos'!$L$5:$L$16)/'2. Investicijos'!$H$5:$H$16,0))</f>
        <v>0</v>
      </c>
      <c r="F154" s="62" cm="1">
        <f t="array" ref="F154">SUM('2. Investicijos'!$H$5:$H$16*IF('2. Investicijos'!$G$5:$G$16&lt;=35,30%,40%))</f>
        <v>0</v>
      </c>
      <c r="G154" s="62" cm="1">
        <f t="array" ref="G154">IF(AND(2030&gt;=2026,2030&lt;2026+'6. Aprašo scenarijus'!$C$4),SUM('2. Investicijos'!$H$5:$H$16*IF('2. Investicijos'!$G$5:$G$16&lt;=35,30%,40%))/'6. Aprašo scenarijus'!$C$4,0)</f>
        <v>0</v>
      </c>
      <c r="H154" s="62">
        <f t="shared" si="61"/>
        <v>0</v>
      </c>
      <c r="I154" s="62">
        <f>SUM(J$5:J$16)</f>
        <v>0</v>
      </c>
      <c r="J154" s="62" t="e" cm="1">
        <f t="array" ref="J154">K154+L154+MAX(0,-R153)*IFERROR(SUMPRODUCT(IF('2. Investicijos'!$N$5:$N$16&gt;('2. Investicijos'!$H$5:$H$16*IF('2. Investicijos'!$G$5:$G$16&lt;=35,30%,40%)),'2. Investicijos'!$N$5:$N$16-('2. Investicijos'!$H$5:$H$16*IF('2. Investicijos'!$G$5:$G$16&lt;=35,30%,40%)),0),'2. Investicijos'!$O$5:$O$16/100)/SUM(IF('2. Investicijos'!$N$5:$N$16&gt;('2. Investicijos'!$H$5:$H$16*IF('2. Investicijos'!$G$5:$G$16&lt;=35,30%,40%)),'2. Investicijos'!$N$5:$N$16-('2. Investicijos'!$H$5:$H$16*IF('2. Investicijos'!$G$5:$G$16&lt;=35,30%,40%)),0)),0)</f>
        <v>#VALUE!</v>
      </c>
      <c r="K154" s="62">
        <f>SUM(AD$5:AD$16)</f>
        <v>0</v>
      </c>
      <c r="L154" s="62">
        <f>SUM(T$5:T$16)</f>
        <v>0</v>
      </c>
      <c r="M154" s="62">
        <f>SUM(AN$5:AN$16)</f>
        <v>0</v>
      </c>
      <c r="N154" s="62">
        <f>'3. Finansinės prielaidos'!G30+M154</f>
        <v>0</v>
      </c>
      <c r="O154" s="62">
        <f>'3. Finansinės prielaidos'!G31</f>
        <v>0</v>
      </c>
      <c r="P154" s="62">
        <f>'3. Finansinės prielaidos'!G32</f>
        <v>0</v>
      </c>
      <c r="Q154" s="62" t="e">
        <f t="shared" si="62"/>
        <v>#VALUE!</v>
      </c>
      <c r="R154" s="62" t="e">
        <f>R153+('3. Finansinės prielaidos'!G31-'3. Finansinės prielaidos'!F31)+Q154</f>
        <v>#VALUE!</v>
      </c>
      <c r="S154" s="62" t="e" cm="1">
        <f t="array" ref="S154">SUMPRODUCT(--(2030&gt;'2. Investicijos'!$F$5:$F$16),--(2030&lt;='2. Investicijos'!$F$5:$F$16+'2. Investicijos'!$G$5:$G$16),IFERROR(('2. Investicijos'!$M$5:$M$16+IF('2. Investicijos'!$N$5:$N$16&gt;('2. Investicijos'!$H$5:$H$16*IF('2. Investicijos'!$G$5:$G$16&lt;=35,30%,40%)),'2. Investicijos'!$N$5:$N$16-('2. Investicijos'!$H$5:$H$16*IF('2. Investicijos'!$G$5:$G$16&lt;=35,30%,40%)),0)+('2. Investicijos'!$H$5:$H$16*IF('2. Investicijos'!$G$5:$G$16&lt;=35,30%,40%)))/'2. Investicijos'!$G$5:$G$16,0))+SUMPRODUCT(--(2030&gt;'2. Investicijos'!$F$5:$F$16),--(2030&lt;='2. Investicijos'!$F$5:$F$16+'2. Investicijos'!$G$5:$G$16),IFERROR(('2. Investicijos'!$M$5:$M$16+IF('2. Investicijos'!$N$5:$N$16&gt;('2. Investicijos'!$H$5:$H$16*IF('2. Investicijos'!$G$5:$G$16&lt;=35,30%,40%)),'2. Investicijos'!$N$5:$N$16-('2. Investicijos'!$H$5:$H$16*IF('2. Investicijos'!$G$5:$G$16&lt;=35,30%,40%)),0))*(1-((2030-'2. Investicijos'!$F$5:$F$16)-1)/'2. Investicijos'!$G$5:$G$16),0)*'5. 0% scenarijus'!$C$5)</f>
        <v>#VALUE!</v>
      </c>
      <c r="T154" s="62" t="e">
        <f>'3. Finansinės prielaidos'!G29+S154+G154</f>
        <v>#VALUE!</v>
      </c>
      <c r="U154" s="62" t="e">
        <f t="shared" si="63"/>
        <v>#VALUE!</v>
      </c>
      <c r="V154" s="72" t="e">
        <f t="shared" si="64"/>
        <v>#VALUE!</v>
      </c>
      <c r="W154" s="72" t="e">
        <f t="shared" si="65"/>
        <v>#VALUE!</v>
      </c>
      <c r="X154" s="57" t="e">
        <f t="shared" si="66"/>
        <v>#VALUE!</v>
      </c>
      <c r="Y154" s="57" t="e">
        <f t="shared" si="67"/>
        <v>#VALUE!</v>
      </c>
      <c r="Z154" s="57"/>
      <c r="AA154" s="57"/>
      <c r="AB154" s="57"/>
      <c r="AC154" s="57"/>
      <c r="AD154" s="57"/>
      <c r="AE154" s="57"/>
      <c r="AF154" s="57"/>
      <c r="AG154" s="57"/>
      <c r="AH154" s="57"/>
      <c r="AI154" s="57"/>
      <c r="AJ154" s="57"/>
      <c r="AK154" s="57"/>
      <c r="AL154" s="57"/>
      <c r="AM154" s="57"/>
      <c r="AN154" s="57"/>
      <c r="AO154" s="57"/>
      <c r="AP154" s="57"/>
      <c r="AQ154" s="57"/>
      <c r="AR154" s="57"/>
      <c r="AS154" s="57"/>
    </row>
    <row r="155" spans="1:45">
      <c r="A155" s="57">
        <v>12</v>
      </c>
      <c r="B155" s="57">
        <v>2031</v>
      </c>
      <c r="C155" s="62">
        <f>SUM('4. Metinis CAPEX'!K$9:K$20)</f>
        <v>0</v>
      </c>
      <c r="D155" s="62" cm="1">
        <f t="array" ref="D155">SUMPRODUCT('4. Metinis CAPEX'!K$9:K$20,IFERROR('2. Investicijos'!$N$5:$N$16/'2. Investicijos'!$H$5:$H$16,0))</f>
        <v>0</v>
      </c>
      <c r="E155" s="62" cm="1">
        <f t="array" ref="E155">SUMPRODUCT('4. Metinis CAPEX'!K$9:K$20,IFERROR(('2. Investicijos'!$I$5:$I$16+'2. Investicijos'!$J$5:$J$16+'2. Investicijos'!$K$5:$K$16+'2. Investicijos'!$L$5:$L$16)/'2. Investicijos'!$H$5:$H$16,0))</f>
        <v>0</v>
      </c>
      <c r="F155" s="62" cm="1">
        <f t="array" ref="F155">SUM('2. Investicijos'!$H$5:$H$16*IF('2. Investicijos'!$G$5:$G$16&lt;=35,30%,40%))</f>
        <v>0</v>
      </c>
      <c r="G155" s="62" cm="1">
        <f t="array" ref="G155">IF(AND(2031&gt;=2026,2031&lt;2026+'6. Aprašo scenarijus'!$C$4),SUM('2. Investicijos'!$H$5:$H$16*IF('2. Investicijos'!$G$5:$G$16&lt;=35,30%,40%))/'6. Aprašo scenarijus'!$C$4,0)</f>
        <v>0</v>
      </c>
      <c r="H155" s="62">
        <f t="shared" si="61"/>
        <v>0</v>
      </c>
      <c r="I155" s="62">
        <f>SUM(K$5:K$16)</f>
        <v>0</v>
      </c>
      <c r="J155" s="62" t="e" cm="1">
        <f t="array" ref="J155">K155+L155+MAX(0,-R154)*IFERROR(SUMPRODUCT(IF('2. Investicijos'!$N$5:$N$16&gt;('2. Investicijos'!$H$5:$H$16*IF('2. Investicijos'!$G$5:$G$16&lt;=35,30%,40%)),'2. Investicijos'!$N$5:$N$16-('2. Investicijos'!$H$5:$H$16*IF('2. Investicijos'!$G$5:$G$16&lt;=35,30%,40%)),0),'2. Investicijos'!$O$5:$O$16/100)/SUM(IF('2. Investicijos'!$N$5:$N$16&gt;('2. Investicijos'!$H$5:$H$16*IF('2. Investicijos'!$G$5:$G$16&lt;=35,30%,40%)),'2. Investicijos'!$N$5:$N$16-('2. Investicijos'!$H$5:$H$16*IF('2. Investicijos'!$G$5:$G$16&lt;=35,30%,40%)),0)),0)</f>
        <v>#VALUE!</v>
      </c>
      <c r="K155" s="62">
        <f>SUM(AE$5:AE$16)</f>
        <v>0</v>
      </c>
      <c r="L155" s="62">
        <f>SUM(U$5:U$16)</f>
        <v>0</v>
      </c>
      <c r="M155" s="62">
        <f>SUM(AO$5:AO$16)</f>
        <v>0</v>
      </c>
      <c r="N155" s="62">
        <f>'3. Finansinės prielaidos'!H30+M155</f>
        <v>0</v>
      </c>
      <c r="O155" s="62">
        <f>'3. Finansinės prielaidos'!H31</f>
        <v>0</v>
      </c>
      <c r="P155" s="62">
        <f>'3. Finansinės prielaidos'!H32</f>
        <v>0</v>
      </c>
      <c r="Q155" s="62" t="e">
        <f t="shared" si="62"/>
        <v>#VALUE!</v>
      </c>
      <c r="R155" s="62" t="e">
        <f>R154+('3. Finansinės prielaidos'!H31-'3. Finansinės prielaidos'!G31)+Q155</f>
        <v>#VALUE!</v>
      </c>
      <c r="S155" s="62" t="e" cm="1">
        <f t="array" ref="S155">SUMPRODUCT(--(2031&gt;'2. Investicijos'!$F$5:$F$16),--(2031&lt;='2. Investicijos'!$F$5:$F$16+'2. Investicijos'!$G$5:$G$16),IFERROR(('2. Investicijos'!$M$5:$M$16+IF('2. Investicijos'!$N$5:$N$16&gt;('2. Investicijos'!$H$5:$H$16*IF('2. Investicijos'!$G$5:$G$16&lt;=35,30%,40%)),'2. Investicijos'!$N$5:$N$16-('2. Investicijos'!$H$5:$H$16*IF('2. Investicijos'!$G$5:$G$16&lt;=35,30%,40%)),0)+('2. Investicijos'!$H$5:$H$16*IF('2. Investicijos'!$G$5:$G$16&lt;=35,30%,40%)))/'2. Investicijos'!$G$5:$G$16,0))+SUMPRODUCT(--(2031&gt;'2. Investicijos'!$F$5:$F$16),--(2031&lt;='2. Investicijos'!$F$5:$F$16+'2. Investicijos'!$G$5:$G$16),IFERROR(('2. Investicijos'!$M$5:$M$16+IF('2. Investicijos'!$N$5:$N$16&gt;('2. Investicijos'!$H$5:$H$16*IF('2. Investicijos'!$G$5:$G$16&lt;=35,30%,40%)),'2. Investicijos'!$N$5:$N$16-('2. Investicijos'!$H$5:$H$16*IF('2. Investicijos'!$G$5:$G$16&lt;=35,30%,40%)),0))*(1-((2031-'2. Investicijos'!$F$5:$F$16)-1)/'2. Investicijos'!$G$5:$G$16),0)*'5. 0% scenarijus'!$C$5)</f>
        <v>#VALUE!</v>
      </c>
      <c r="T155" s="62" t="e">
        <f>'3. Finansinės prielaidos'!H29+S155+G155</f>
        <v>#VALUE!</v>
      </c>
      <c r="U155" s="62" t="e">
        <f t="shared" si="63"/>
        <v>#VALUE!</v>
      </c>
      <c r="V155" s="72" t="e">
        <f t="shared" si="64"/>
        <v>#VALUE!</v>
      </c>
      <c r="W155" s="72" t="e">
        <f t="shared" si="65"/>
        <v>#VALUE!</v>
      </c>
      <c r="X155" s="57" t="e">
        <f t="shared" si="66"/>
        <v>#VALUE!</v>
      </c>
      <c r="Y155" s="57" t="e">
        <f t="shared" si="67"/>
        <v>#VALUE!</v>
      </c>
      <c r="Z155" s="57"/>
      <c r="AA155" s="57"/>
      <c r="AB155" s="57"/>
      <c r="AC155" s="57"/>
      <c r="AD155" s="57"/>
      <c r="AE155" s="57"/>
      <c r="AF155" s="57"/>
      <c r="AG155" s="57"/>
      <c r="AH155" s="57"/>
      <c r="AI155" s="57"/>
      <c r="AJ155" s="57"/>
      <c r="AK155" s="57"/>
      <c r="AL155" s="57"/>
      <c r="AM155" s="57"/>
      <c r="AN155" s="57"/>
      <c r="AO155" s="57"/>
      <c r="AP155" s="57"/>
      <c r="AQ155" s="57"/>
      <c r="AR155" s="57"/>
      <c r="AS155" s="57"/>
    </row>
    <row r="156" spans="1:45">
      <c r="A156" s="57">
        <v>12</v>
      </c>
      <c r="B156" s="57">
        <v>2032</v>
      </c>
      <c r="C156" s="62">
        <f>SUM('4. Metinis CAPEX'!L$9:L$20)</f>
        <v>0</v>
      </c>
      <c r="D156" s="62" cm="1">
        <f t="array" ref="D156">SUMPRODUCT('4. Metinis CAPEX'!L$9:L$20,IFERROR('2. Investicijos'!$N$5:$N$16/'2. Investicijos'!$H$5:$H$16,0))</f>
        <v>0</v>
      </c>
      <c r="E156" s="62" cm="1">
        <f t="array" ref="E156">SUMPRODUCT('4. Metinis CAPEX'!L$9:L$20,IFERROR(('2. Investicijos'!$I$5:$I$16+'2. Investicijos'!$J$5:$J$16+'2. Investicijos'!$K$5:$K$16+'2. Investicijos'!$L$5:$L$16)/'2. Investicijos'!$H$5:$H$16,0))</f>
        <v>0</v>
      </c>
      <c r="F156" s="62" cm="1">
        <f t="array" ref="F156">SUM('2. Investicijos'!$H$5:$H$16*IF('2. Investicijos'!$G$5:$G$16&lt;=35,30%,40%))</f>
        <v>0</v>
      </c>
      <c r="G156" s="62" cm="1">
        <f t="array" ref="G156">IF(AND(2032&gt;=2026,2032&lt;2026+'6. Aprašo scenarijus'!$C$4),SUM('2. Investicijos'!$H$5:$H$16*IF('2. Investicijos'!$G$5:$G$16&lt;=35,30%,40%))/'6. Aprašo scenarijus'!$C$4,0)</f>
        <v>0</v>
      </c>
      <c r="H156" s="62">
        <f t="shared" si="61"/>
        <v>0</v>
      </c>
      <c r="I156" s="62">
        <f>SUM(L$5:L$16)</f>
        <v>0</v>
      </c>
      <c r="J156" s="62" t="e" cm="1">
        <f t="array" ref="J156">K156+L156+MAX(0,-R155)*IFERROR(SUMPRODUCT(IF('2. Investicijos'!$N$5:$N$16&gt;('2. Investicijos'!$H$5:$H$16*IF('2. Investicijos'!$G$5:$G$16&lt;=35,30%,40%)),'2. Investicijos'!$N$5:$N$16-('2. Investicijos'!$H$5:$H$16*IF('2. Investicijos'!$G$5:$G$16&lt;=35,30%,40%)),0),'2. Investicijos'!$O$5:$O$16/100)/SUM(IF('2. Investicijos'!$N$5:$N$16&gt;('2. Investicijos'!$H$5:$H$16*IF('2. Investicijos'!$G$5:$G$16&lt;=35,30%,40%)),'2. Investicijos'!$N$5:$N$16-('2. Investicijos'!$H$5:$H$16*IF('2. Investicijos'!$G$5:$G$16&lt;=35,30%,40%)),0)),0)</f>
        <v>#VALUE!</v>
      </c>
      <c r="K156" s="62">
        <f>SUM(AF$5:AF$16)</f>
        <v>0</v>
      </c>
      <c r="L156" s="62">
        <f>SUM(V$5:V$16)</f>
        <v>0</v>
      </c>
      <c r="M156" s="62">
        <f>SUM(AP$5:AP$16)</f>
        <v>0</v>
      </c>
      <c r="N156" s="62">
        <f>'3. Finansinės prielaidos'!I30+M156</f>
        <v>0</v>
      </c>
      <c r="O156" s="62">
        <f>'3. Finansinės prielaidos'!I31</f>
        <v>0</v>
      </c>
      <c r="P156" s="62">
        <f>'3. Finansinės prielaidos'!I32</f>
        <v>0</v>
      </c>
      <c r="Q156" s="62" t="e">
        <f t="shared" si="62"/>
        <v>#VALUE!</v>
      </c>
      <c r="R156" s="62" t="e">
        <f>R155+('3. Finansinės prielaidos'!I31-'3. Finansinės prielaidos'!H31)+Q156</f>
        <v>#VALUE!</v>
      </c>
      <c r="S156" s="62" t="e" cm="1">
        <f t="array" ref="S156">SUMPRODUCT(--(2032&gt;'2. Investicijos'!$F$5:$F$16),--(2032&lt;='2. Investicijos'!$F$5:$F$16+'2. Investicijos'!$G$5:$G$16),IFERROR(('2. Investicijos'!$M$5:$M$16+IF('2. Investicijos'!$N$5:$N$16&gt;('2. Investicijos'!$H$5:$H$16*IF('2. Investicijos'!$G$5:$G$16&lt;=35,30%,40%)),'2. Investicijos'!$N$5:$N$16-('2. Investicijos'!$H$5:$H$16*IF('2. Investicijos'!$G$5:$G$16&lt;=35,30%,40%)),0)+('2. Investicijos'!$H$5:$H$16*IF('2. Investicijos'!$G$5:$G$16&lt;=35,30%,40%)))/'2. Investicijos'!$G$5:$G$16,0))+SUMPRODUCT(--(2032&gt;'2. Investicijos'!$F$5:$F$16),--(2032&lt;='2. Investicijos'!$F$5:$F$16+'2. Investicijos'!$G$5:$G$16),IFERROR(('2. Investicijos'!$M$5:$M$16+IF('2. Investicijos'!$N$5:$N$16&gt;('2. Investicijos'!$H$5:$H$16*IF('2. Investicijos'!$G$5:$G$16&lt;=35,30%,40%)),'2. Investicijos'!$N$5:$N$16-('2. Investicijos'!$H$5:$H$16*IF('2. Investicijos'!$G$5:$G$16&lt;=35,30%,40%)),0))*(1-((2032-'2. Investicijos'!$F$5:$F$16)-1)/'2. Investicijos'!$G$5:$G$16),0)*'5. 0% scenarijus'!$C$5)</f>
        <v>#VALUE!</v>
      </c>
      <c r="T156" s="62" t="e">
        <f>'3. Finansinės prielaidos'!I29+S156+G156</f>
        <v>#VALUE!</v>
      </c>
      <c r="U156" s="62" t="e">
        <f t="shared" si="63"/>
        <v>#VALUE!</v>
      </c>
      <c r="V156" s="72" t="e">
        <f t="shared" si="64"/>
        <v>#VALUE!</v>
      </c>
      <c r="W156" s="72" t="e">
        <f t="shared" si="65"/>
        <v>#VALUE!</v>
      </c>
      <c r="X156" s="57" t="e">
        <f t="shared" si="66"/>
        <v>#VALUE!</v>
      </c>
      <c r="Y156" s="57" t="e">
        <f t="shared" si="67"/>
        <v>#VALUE!</v>
      </c>
      <c r="Z156" s="57"/>
      <c r="AA156" s="57"/>
      <c r="AB156" s="57"/>
      <c r="AC156" s="57"/>
      <c r="AD156" s="57"/>
      <c r="AE156" s="57"/>
      <c r="AF156" s="57"/>
      <c r="AG156" s="57"/>
      <c r="AH156" s="57"/>
      <c r="AI156" s="57"/>
      <c r="AJ156" s="57"/>
      <c r="AK156" s="57"/>
      <c r="AL156" s="57"/>
      <c r="AM156" s="57"/>
      <c r="AN156" s="57"/>
      <c r="AO156" s="57"/>
      <c r="AP156" s="57"/>
      <c r="AQ156" s="57"/>
      <c r="AR156" s="57"/>
      <c r="AS156" s="57"/>
    </row>
    <row r="157" spans="1:45">
      <c r="A157" s="57">
        <v>12</v>
      </c>
      <c r="B157" s="57">
        <v>2033</v>
      </c>
      <c r="C157" s="62">
        <f>SUM('4. Metinis CAPEX'!M$9:M$20)</f>
        <v>0</v>
      </c>
      <c r="D157" s="62" cm="1">
        <f t="array" ref="D157">SUMPRODUCT('4. Metinis CAPEX'!M$9:M$20,IFERROR('2. Investicijos'!$N$5:$N$16/'2. Investicijos'!$H$5:$H$16,0))</f>
        <v>0</v>
      </c>
      <c r="E157" s="62" cm="1">
        <f t="array" ref="E157">SUMPRODUCT('4. Metinis CAPEX'!M$9:M$20,IFERROR(('2. Investicijos'!$I$5:$I$16+'2. Investicijos'!$J$5:$J$16+'2. Investicijos'!$K$5:$K$16+'2. Investicijos'!$L$5:$L$16)/'2. Investicijos'!$H$5:$H$16,0))</f>
        <v>0</v>
      </c>
      <c r="F157" s="62" cm="1">
        <f t="array" ref="F157">SUM('2. Investicijos'!$H$5:$H$16*IF('2. Investicijos'!$G$5:$G$16&lt;=35,30%,40%))</f>
        <v>0</v>
      </c>
      <c r="G157" s="62" cm="1">
        <f t="array" ref="G157">IF(AND(2033&gt;=2026,2033&lt;2026+'6. Aprašo scenarijus'!$C$4),SUM('2. Investicijos'!$H$5:$H$16*IF('2. Investicijos'!$G$5:$G$16&lt;=35,30%,40%))/'6. Aprašo scenarijus'!$C$4,0)</f>
        <v>0</v>
      </c>
      <c r="H157" s="62">
        <f t="shared" si="61"/>
        <v>0</v>
      </c>
      <c r="I157" s="62">
        <f>SUM(M$5:M$16)</f>
        <v>0</v>
      </c>
      <c r="J157" s="62" t="e" cm="1">
        <f t="array" ref="J157">K157+L157+MAX(0,-R156)*IFERROR(SUMPRODUCT(IF('2. Investicijos'!$N$5:$N$16&gt;('2. Investicijos'!$H$5:$H$16*IF('2. Investicijos'!$G$5:$G$16&lt;=35,30%,40%)),'2. Investicijos'!$N$5:$N$16-('2. Investicijos'!$H$5:$H$16*IF('2. Investicijos'!$G$5:$G$16&lt;=35,30%,40%)),0),'2. Investicijos'!$O$5:$O$16/100)/SUM(IF('2. Investicijos'!$N$5:$N$16&gt;('2. Investicijos'!$H$5:$H$16*IF('2. Investicijos'!$G$5:$G$16&lt;=35,30%,40%)),'2. Investicijos'!$N$5:$N$16-('2. Investicijos'!$H$5:$H$16*IF('2. Investicijos'!$G$5:$G$16&lt;=35,30%,40%)),0)),0)</f>
        <v>#VALUE!</v>
      </c>
      <c r="K157" s="62">
        <f>SUM(AG$5:AG$16)</f>
        <v>0</v>
      </c>
      <c r="L157" s="62">
        <f>SUM(W$5:W$16)</f>
        <v>0</v>
      </c>
      <c r="M157" s="62">
        <f>SUM(AQ$5:AQ$16)</f>
        <v>0</v>
      </c>
      <c r="N157" s="62">
        <f>'3. Finansinės prielaidos'!J30+M157</f>
        <v>0</v>
      </c>
      <c r="O157" s="62">
        <f>'3. Finansinės prielaidos'!J31</f>
        <v>0</v>
      </c>
      <c r="P157" s="62">
        <f>'3. Finansinės prielaidos'!J32</f>
        <v>0</v>
      </c>
      <c r="Q157" s="62" t="e">
        <f t="shared" si="62"/>
        <v>#VALUE!</v>
      </c>
      <c r="R157" s="62" t="e">
        <f>R156+('3. Finansinės prielaidos'!J31-'3. Finansinės prielaidos'!I31)+Q157</f>
        <v>#VALUE!</v>
      </c>
      <c r="S157" s="62" t="e" cm="1">
        <f t="array" ref="S157">SUMPRODUCT(--(2033&gt;'2. Investicijos'!$F$5:$F$16),--(2033&lt;='2. Investicijos'!$F$5:$F$16+'2. Investicijos'!$G$5:$G$16),IFERROR(('2. Investicijos'!$M$5:$M$16+IF('2. Investicijos'!$N$5:$N$16&gt;('2. Investicijos'!$H$5:$H$16*IF('2. Investicijos'!$G$5:$G$16&lt;=35,30%,40%)),'2. Investicijos'!$N$5:$N$16-('2. Investicijos'!$H$5:$H$16*IF('2. Investicijos'!$G$5:$G$16&lt;=35,30%,40%)),0)+('2. Investicijos'!$H$5:$H$16*IF('2. Investicijos'!$G$5:$G$16&lt;=35,30%,40%)))/'2. Investicijos'!$G$5:$G$16,0))+SUMPRODUCT(--(2033&gt;'2. Investicijos'!$F$5:$F$16),--(2033&lt;='2. Investicijos'!$F$5:$F$16+'2. Investicijos'!$G$5:$G$16),IFERROR(('2. Investicijos'!$M$5:$M$16+IF('2. Investicijos'!$N$5:$N$16&gt;('2. Investicijos'!$H$5:$H$16*IF('2. Investicijos'!$G$5:$G$16&lt;=35,30%,40%)),'2. Investicijos'!$N$5:$N$16-('2. Investicijos'!$H$5:$H$16*IF('2. Investicijos'!$G$5:$G$16&lt;=35,30%,40%)),0))*(1-((2033-'2. Investicijos'!$F$5:$F$16)-1)/'2. Investicijos'!$G$5:$G$16),0)*'5. 0% scenarijus'!$C$5)</f>
        <v>#VALUE!</v>
      </c>
      <c r="T157" s="62" t="e">
        <f>'3. Finansinės prielaidos'!J29+S157+G157</f>
        <v>#VALUE!</v>
      </c>
      <c r="U157" s="62" t="e">
        <f t="shared" si="63"/>
        <v>#VALUE!</v>
      </c>
      <c r="V157" s="72" t="e">
        <f t="shared" si="64"/>
        <v>#VALUE!</v>
      </c>
      <c r="W157" s="72" t="e">
        <f t="shared" si="65"/>
        <v>#VALUE!</v>
      </c>
      <c r="X157" s="57" t="e">
        <f t="shared" si="66"/>
        <v>#VALUE!</v>
      </c>
      <c r="Y157" s="57" t="e">
        <f t="shared" si="67"/>
        <v>#VALUE!</v>
      </c>
      <c r="Z157" s="57"/>
      <c r="AA157" s="57"/>
      <c r="AB157" s="57"/>
      <c r="AC157" s="57"/>
      <c r="AD157" s="57"/>
      <c r="AE157" s="57"/>
      <c r="AF157" s="57"/>
      <c r="AG157" s="57"/>
      <c r="AH157" s="57"/>
      <c r="AI157" s="57"/>
      <c r="AJ157" s="57"/>
      <c r="AK157" s="57"/>
      <c r="AL157" s="57"/>
      <c r="AM157" s="57"/>
      <c r="AN157" s="57"/>
      <c r="AO157" s="57"/>
      <c r="AP157" s="57"/>
      <c r="AQ157" s="57"/>
      <c r="AR157" s="57"/>
      <c r="AS157" s="57"/>
    </row>
    <row r="158" spans="1:45">
      <c r="A158" s="57">
        <v>12</v>
      </c>
      <c r="B158" s="57">
        <v>2034</v>
      </c>
      <c r="C158" s="62">
        <f>SUM('4. Metinis CAPEX'!N$9:N$20)</f>
        <v>0</v>
      </c>
      <c r="D158" s="62" cm="1">
        <f t="array" ref="D158">SUMPRODUCT('4. Metinis CAPEX'!N$9:N$20,IFERROR('2. Investicijos'!$N$5:$N$16/'2. Investicijos'!$H$5:$H$16,0))</f>
        <v>0</v>
      </c>
      <c r="E158" s="62" cm="1">
        <f t="array" ref="E158">SUMPRODUCT('4. Metinis CAPEX'!N$9:N$20,IFERROR(('2. Investicijos'!$I$5:$I$16+'2. Investicijos'!$J$5:$J$16+'2. Investicijos'!$K$5:$K$16+'2. Investicijos'!$L$5:$L$16)/'2. Investicijos'!$H$5:$H$16,0))</f>
        <v>0</v>
      </c>
      <c r="F158" s="62" cm="1">
        <f t="array" ref="F158">SUM('2. Investicijos'!$H$5:$H$16*IF('2. Investicijos'!$G$5:$G$16&lt;=35,30%,40%))</f>
        <v>0</v>
      </c>
      <c r="G158" s="62" cm="1">
        <f t="array" ref="G158">IF(AND(2034&gt;=2026,2034&lt;2026+'6. Aprašo scenarijus'!$C$4),SUM('2. Investicijos'!$H$5:$H$16*IF('2. Investicijos'!$G$5:$G$16&lt;=35,30%,40%))/'6. Aprašo scenarijus'!$C$4,0)</f>
        <v>0</v>
      </c>
      <c r="H158" s="62">
        <f t="shared" si="61"/>
        <v>0</v>
      </c>
      <c r="I158" s="62">
        <f>SUM(N$5:N$16)</f>
        <v>0</v>
      </c>
      <c r="J158" s="62" t="e" cm="1">
        <f t="array" ref="J158">K158+L158+MAX(0,-R157)*IFERROR(SUMPRODUCT(IF('2. Investicijos'!$N$5:$N$16&gt;('2. Investicijos'!$H$5:$H$16*IF('2. Investicijos'!$G$5:$G$16&lt;=35,30%,40%)),'2. Investicijos'!$N$5:$N$16-('2. Investicijos'!$H$5:$H$16*IF('2. Investicijos'!$G$5:$G$16&lt;=35,30%,40%)),0),'2. Investicijos'!$O$5:$O$16/100)/SUM(IF('2. Investicijos'!$N$5:$N$16&gt;('2. Investicijos'!$H$5:$H$16*IF('2. Investicijos'!$G$5:$G$16&lt;=35,30%,40%)),'2. Investicijos'!$N$5:$N$16-('2. Investicijos'!$H$5:$H$16*IF('2. Investicijos'!$G$5:$G$16&lt;=35,30%,40%)),0)),0)</f>
        <v>#VALUE!</v>
      </c>
      <c r="K158" s="62">
        <f>SUM(AH$5:AH$16)</f>
        <v>0</v>
      </c>
      <c r="L158" s="62">
        <f>SUM(X$5:X$16)</f>
        <v>0</v>
      </c>
      <c r="M158" s="62">
        <f>SUM(AR$5:AR$16)</f>
        <v>0</v>
      </c>
      <c r="N158" s="62">
        <f>'3. Finansinės prielaidos'!K30+M158</f>
        <v>0</v>
      </c>
      <c r="O158" s="62">
        <f>'3. Finansinės prielaidos'!K31</f>
        <v>0</v>
      </c>
      <c r="P158" s="62">
        <f>'3. Finansinės prielaidos'!K32</f>
        <v>0</v>
      </c>
      <c r="Q158" s="62" t="e">
        <f t="shared" si="62"/>
        <v>#VALUE!</v>
      </c>
      <c r="R158" s="62" t="e">
        <f>R157+('3. Finansinės prielaidos'!K31-'3. Finansinės prielaidos'!J31)+Q158</f>
        <v>#VALUE!</v>
      </c>
      <c r="S158" s="62" t="e" cm="1">
        <f t="array" ref="S158">SUMPRODUCT(--(2034&gt;'2. Investicijos'!$F$5:$F$16),--(2034&lt;='2. Investicijos'!$F$5:$F$16+'2. Investicijos'!$G$5:$G$16),IFERROR(('2. Investicijos'!$M$5:$M$16+IF('2. Investicijos'!$N$5:$N$16&gt;('2. Investicijos'!$H$5:$H$16*IF('2. Investicijos'!$G$5:$G$16&lt;=35,30%,40%)),'2. Investicijos'!$N$5:$N$16-('2. Investicijos'!$H$5:$H$16*IF('2. Investicijos'!$G$5:$G$16&lt;=35,30%,40%)),0)+('2. Investicijos'!$H$5:$H$16*IF('2. Investicijos'!$G$5:$G$16&lt;=35,30%,40%)))/'2. Investicijos'!$G$5:$G$16,0))+SUMPRODUCT(--(2034&gt;'2. Investicijos'!$F$5:$F$16),--(2034&lt;='2. Investicijos'!$F$5:$F$16+'2. Investicijos'!$G$5:$G$16),IFERROR(('2. Investicijos'!$M$5:$M$16+IF('2. Investicijos'!$N$5:$N$16&gt;('2. Investicijos'!$H$5:$H$16*IF('2. Investicijos'!$G$5:$G$16&lt;=35,30%,40%)),'2. Investicijos'!$N$5:$N$16-('2. Investicijos'!$H$5:$H$16*IF('2. Investicijos'!$G$5:$G$16&lt;=35,30%,40%)),0))*(1-((2034-'2. Investicijos'!$F$5:$F$16)-1)/'2. Investicijos'!$G$5:$G$16),0)*'5. 0% scenarijus'!$C$5)</f>
        <v>#VALUE!</v>
      </c>
      <c r="T158" s="62" t="e">
        <f>'3. Finansinės prielaidos'!K29+S158+G158</f>
        <v>#VALUE!</v>
      </c>
      <c r="U158" s="62" t="e">
        <f t="shared" si="63"/>
        <v>#VALUE!</v>
      </c>
      <c r="V158" s="72" t="e">
        <f t="shared" si="64"/>
        <v>#VALUE!</v>
      </c>
      <c r="W158" s="72" t="e">
        <f t="shared" si="65"/>
        <v>#VALUE!</v>
      </c>
      <c r="X158" s="57" t="e">
        <f t="shared" si="66"/>
        <v>#VALUE!</v>
      </c>
      <c r="Y158" s="57" t="e">
        <f t="shared" si="67"/>
        <v>#VALUE!</v>
      </c>
      <c r="Z158" s="57"/>
      <c r="AA158" s="57"/>
      <c r="AB158" s="57"/>
      <c r="AC158" s="57"/>
      <c r="AD158" s="57"/>
      <c r="AE158" s="57"/>
      <c r="AF158" s="57"/>
      <c r="AG158" s="57"/>
      <c r="AH158" s="57"/>
      <c r="AI158" s="57"/>
      <c r="AJ158" s="57"/>
      <c r="AK158" s="57"/>
      <c r="AL158" s="57"/>
      <c r="AM158" s="57"/>
      <c r="AN158" s="57"/>
      <c r="AO158" s="57"/>
      <c r="AP158" s="57"/>
      <c r="AQ158" s="57"/>
      <c r="AR158" s="57"/>
      <c r="AS158" s="57"/>
    </row>
    <row r="159" spans="1:45">
      <c r="A159" s="57">
        <v>12</v>
      </c>
      <c r="B159" s="57">
        <v>2035</v>
      </c>
      <c r="C159" s="62">
        <f>SUM('4. Metinis CAPEX'!O$9:O$20)</f>
        <v>0</v>
      </c>
      <c r="D159" s="62" cm="1">
        <f t="array" ref="D159">SUMPRODUCT('4. Metinis CAPEX'!O$9:O$20,IFERROR('2. Investicijos'!$N$5:$N$16/'2. Investicijos'!$H$5:$H$16,0))</f>
        <v>0</v>
      </c>
      <c r="E159" s="62" cm="1">
        <f t="array" ref="E159">SUMPRODUCT('4. Metinis CAPEX'!O$9:O$20,IFERROR(('2. Investicijos'!$I$5:$I$16+'2. Investicijos'!$J$5:$J$16+'2. Investicijos'!$K$5:$K$16+'2. Investicijos'!$L$5:$L$16)/'2. Investicijos'!$H$5:$H$16,0))</f>
        <v>0</v>
      </c>
      <c r="F159" s="62" cm="1">
        <f t="array" ref="F159">SUM('2. Investicijos'!$H$5:$H$16*IF('2. Investicijos'!$G$5:$G$16&lt;=35,30%,40%))</f>
        <v>0</v>
      </c>
      <c r="G159" s="62" cm="1">
        <f t="array" ref="G159">IF(AND(2035&gt;=2026,2035&lt;2026+'6. Aprašo scenarijus'!$C$4),SUM('2. Investicijos'!$H$5:$H$16*IF('2. Investicijos'!$G$5:$G$16&lt;=35,30%,40%))/'6. Aprašo scenarijus'!$C$4,0)</f>
        <v>0</v>
      </c>
      <c r="H159" s="62">
        <f t="shared" si="61"/>
        <v>0</v>
      </c>
      <c r="I159" s="62">
        <f>SUM(O$5:O$16)</f>
        <v>0</v>
      </c>
      <c r="J159" s="62" t="e" cm="1">
        <f t="array" ref="J159">K159+L159+MAX(0,-R158)*IFERROR(SUMPRODUCT(IF('2. Investicijos'!$N$5:$N$16&gt;('2. Investicijos'!$H$5:$H$16*IF('2. Investicijos'!$G$5:$G$16&lt;=35,30%,40%)),'2. Investicijos'!$N$5:$N$16-('2. Investicijos'!$H$5:$H$16*IF('2. Investicijos'!$G$5:$G$16&lt;=35,30%,40%)),0),'2. Investicijos'!$O$5:$O$16/100)/SUM(IF('2. Investicijos'!$N$5:$N$16&gt;('2. Investicijos'!$H$5:$H$16*IF('2. Investicijos'!$G$5:$G$16&lt;=35,30%,40%)),'2. Investicijos'!$N$5:$N$16-('2. Investicijos'!$H$5:$H$16*IF('2. Investicijos'!$G$5:$G$16&lt;=35,30%,40%)),0)),0)</f>
        <v>#VALUE!</v>
      </c>
      <c r="K159" s="62">
        <f>SUM(AI$5:AI$16)</f>
        <v>0</v>
      </c>
      <c r="L159" s="62">
        <f>SUM(Y$5:Y$16)</f>
        <v>0</v>
      </c>
      <c r="M159" s="62">
        <f>SUM(AS$5:AS$16)</f>
        <v>0</v>
      </c>
      <c r="N159" s="62">
        <f>'3. Finansinės prielaidos'!L30+M159</f>
        <v>0</v>
      </c>
      <c r="O159" s="62">
        <f>'3. Finansinės prielaidos'!L31</f>
        <v>0</v>
      </c>
      <c r="P159" s="62">
        <f>'3. Finansinės prielaidos'!L32</f>
        <v>0</v>
      </c>
      <c r="Q159" s="62" t="e">
        <f t="shared" si="62"/>
        <v>#VALUE!</v>
      </c>
      <c r="R159" s="62" t="e">
        <f>R158+('3. Finansinės prielaidos'!L31-'3. Finansinės prielaidos'!K31)+Q159</f>
        <v>#VALUE!</v>
      </c>
      <c r="S159" s="62" t="e" cm="1">
        <f t="array" ref="S159">SUMPRODUCT(--(2035&gt;'2. Investicijos'!$F$5:$F$16),--(2035&lt;='2. Investicijos'!$F$5:$F$16+'2. Investicijos'!$G$5:$G$16),IFERROR(('2. Investicijos'!$M$5:$M$16+IF('2. Investicijos'!$N$5:$N$16&gt;('2. Investicijos'!$H$5:$H$16*IF('2. Investicijos'!$G$5:$G$16&lt;=35,30%,40%)),'2. Investicijos'!$N$5:$N$16-('2. Investicijos'!$H$5:$H$16*IF('2. Investicijos'!$G$5:$G$16&lt;=35,30%,40%)),0)+('2. Investicijos'!$H$5:$H$16*IF('2. Investicijos'!$G$5:$G$16&lt;=35,30%,40%)))/'2. Investicijos'!$G$5:$G$16,0))+SUMPRODUCT(--(2035&gt;'2. Investicijos'!$F$5:$F$16),--(2035&lt;='2. Investicijos'!$F$5:$F$16+'2. Investicijos'!$G$5:$G$16),IFERROR(('2. Investicijos'!$M$5:$M$16+IF('2. Investicijos'!$N$5:$N$16&gt;('2. Investicijos'!$H$5:$H$16*IF('2. Investicijos'!$G$5:$G$16&lt;=35,30%,40%)),'2. Investicijos'!$N$5:$N$16-('2. Investicijos'!$H$5:$H$16*IF('2. Investicijos'!$G$5:$G$16&lt;=35,30%,40%)),0))*(1-((2035-'2. Investicijos'!$F$5:$F$16)-1)/'2. Investicijos'!$G$5:$G$16),0)*'5. 0% scenarijus'!$C$5)</f>
        <v>#VALUE!</v>
      </c>
      <c r="T159" s="62" t="e">
        <f>'3. Finansinės prielaidos'!L29+S159+G159</f>
        <v>#VALUE!</v>
      </c>
      <c r="U159" s="62" t="e">
        <f t="shared" si="63"/>
        <v>#VALUE!</v>
      </c>
      <c r="V159" s="72" t="e">
        <f t="shared" si="64"/>
        <v>#VALUE!</v>
      </c>
      <c r="W159" s="72" t="e">
        <f t="shared" si="65"/>
        <v>#VALUE!</v>
      </c>
      <c r="X159" s="57" t="e">
        <f t="shared" si="66"/>
        <v>#VALUE!</v>
      </c>
      <c r="Y159" s="57" t="e">
        <f t="shared" si="67"/>
        <v>#VALUE!</v>
      </c>
      <c r="Z159" s="57"/>
      <c r="AA159" s="57"/>
      <c r="AB159" s="57"/>
      <c r="AC159" s="57"/>
      <c r="AD159" s="57"/>
      <c r="AE159" s="57"/>
      <c r="AF159" s="57"/>
      <c r="AG159" s="57"/>
      <c r="AH159" s="57"/>
      <c r="AI159" s="57"/>
      <c r="AJ159" s="57"/>
      <c r="AK159" s="57"/>
      <c r="AL159" s="57"/>
      <c r="AM159" s="57"/>
      <c r="AN159" s="57"/>
      <c r="AO159" s="57"/>
      <c r="AP159" s="57"/>
      <c r="AQ159" s="57"/>
      <c r="AR159" s="57"/>
      <c r="AS159" s="57"/>
    </row>
    <row r="160" spans="1:45">
      <c r="A160" s="57">
        <v>13</v>
      </c>
      <c r="B160" s="57">
        <v>2026</v>
      </c>
      <c r="C160" s="62">
        <f>SUM('4. Metinis CAPEX'!F$9:F$21)</f>
        <v>0</v>
      </c>
      <c r="D160" s="62" cm="1">
        <f t="array" ref="D160">SUMPRODUCT('4. Metinis CAPEX'!F$9:F$21,IFERROR('2. Investicijos'!$N$5:$N$17/'2. Investicijos'!$H$5:$H$17,0))</f>
        <v>0</v>
      </c>
      <c r="E160" s="62" cm="1">
        <f t="array" ref="E160">SUMPRODUCT('4. Metinis CAPEX'!F$9:F$21,IFERROR(('2. Investicijos'!$I$5:$I$17+'2. Investicijos'!$J$5:$J$17+'2. Investicijos'!$K$5:$K$17+'2. Investicijos'!$L$5:$L$17)/'2. Investicijos'!$H$5:$H$17,0))</f>
        <v>0</v>
      </c>
      <c r="F160" s="62" cm="1">
        <f t="array" ref="F160">SUM('2. Investicijos'!$H$5:$H$17*IF('2. Investicijos'!$G$5:$G$17&lt;=35,30%,40%))</f>
        <v>0</v>
      </c>
      <c r="G160" s="62" cm="1">
        <f t="array" ref="G160">IF(AND(2026&gt;=2026,2026&lt;2026+'6. Aprašo scenarijus'!$C$4),SUM('2. Investicijos'!$H$5:$H$17*IF('2. Investicijos'!$G$5:$G$17&lt;=35,30%,40%))/'6. Aprašo scenarijus'!$C$4,0)</f>
        <v>0</v>
      </c>
      <c r="H160" s="62">
        <f t="shared" si="61"/>
        <v>0</v>
      </c>
      <c r="I160" s="62">
        <f>SUM(F$5:F$17)</f>
        <v>0</v>
      </c>
      <c r="J160" s="62">
        <f>0</f>
        <v>0</v>
      </c>
      <c r="K160" s="62">
        <f>SUM(Z$5:Z$17)</f>
        <v>0</v>
      </c>
      <c r="L160" s="62">
        <f>SUM(P$5:P$17)</f>
        <v>0</v>
      </c>
      <c r="M160" s="62">
        <f>SUM(AJ$5:AJ$17)</f>
        <v>0</v>
      </c>
      <c r="N160" s="62">
        <f>'3. Finansinės prielaidos'!C30+M160</f>
        <v>0</v>
      </c>
      <c r="O160" s="62">
        <f>'3. Finansinės prielaidos'!C31</f>
        <v>0</v>
      </c>
      <c r="P160" s="62">
        <f>'3. Finansinės prielaidos'!C32</f>
        <v>0</v>
      </c>
      <c r="Q160" s="62" t="e">
        <f t="shared" si="62"/>
        <v>#VALUE!</v>
      </c>
      <c r="R160" s="62" t="e">
        <f>O160+Q160</f>
        <v>#VALUE!</v>
      </c>
      <c r="S160" s="62" t="e" cm="1">
        <f t="array" ref="S160">SUMPRODUCT(--(2026&gt;'2. Investicijos'!$F$5:$F$17),--(2026&lt;='2. Investicijos'!$F$5:$F$17+'2. Investicijos'!$G$5:$G$17),IFERROR(('2. Investicijos'!$M$5:$M$17+IF('2. Investicijos'!$N$5:$N$17&gt;('2. Investicijos'!$H$5:$H$17*IF('2. Investicijos'!$G$5:$G$17&lt;=35,30%,40%)),'2. Investicijos'!$N$5:$N$17-('2. Investicijos'!$H$5:$H$17*IF('2. Investicijos'!$G$5:$G$17&lt;=35,30%,40%)),0)+('2. Investicijos'!$H$5:$H$17*IF('2. Investicijos'!$G$5:$G$17&lt;=35,30%,40%)))/'2. Investicijos'!$G$5:$G$17,0))+SUMPRODUCT(--(2026&gt;'2. Investicijos'!$F$5:$F$17),--(2026&lt;='2. Investicijos'!$F$5:$F$17+'2. Investicijos'!$G$5:$G$17),IFERROR(('2. Investicijos'!$M$5:$M$17+IF('2. Investicijos'!$N$5:$N$17&gt;('2. Investicijos'!$H$5:$H$17*IF('2. Investicijos'!$G$5:$G$17&lt;=35,30%,40%)),'2. Investicijos'!$N$5:$N$17-('2. Investicijos'!$H$5:$H$17*IF('2. Investicijos'!$G$5:$G$17&lt;=35,30%,40%)),0))*(1-((2026-'2. Investicijos'!$F$5:$F$17)-1)/'2. Investicijos'!$G$5:$G$17),0)*'5. 0% scenarijus'!$C$5)</f>
        <v>#VALUE!</v>
      </c>
      <c r="T160" s="62" t="e">
        <f>'3. Finansinės prielaidos'!C29+S160+G160</f>
        <v>#VALUE!</v>
      </c>
      <c r="U160" s="62" t="e">
        <f t="shared" si="63"/>
        <v>#VALUE!</v>
      </c>
      <c r="V160" s="72" t="e">
        <f t="shared" si="64"/>
        <v>#VALUE!</v>
      </c>
      <c r="W160" s="72" t="e">
        <f t="shared" si="65"/>
        <v>#VALUE!</v>
      </c>
      <c r="X160" s="57" t="e">
        <f t="shared" si="66"/>
        <v>#VALUE!</v>
      </c>
      <c r="Y160" s="57" t="e">
        <f t="shared" si="67"/>
        <v>#VALUE!</v>
      </c>
      <c r="Z160" s="57"/>
      <c r="AA160" s="57"/>
      <c r="AB160" s="57"/>
      <c r="AC160" s="57"/>
      <c r="AD160" s="57"/>
      <c r="AE160" s="57"/>
      <c r="AF160" s="57"/>
      <c r="AG160" s="57"/>
      <c r="AH160" s="57"/>
      <c r="AI160" s="57"/>
      <c r="AJ160" s="57"/>
      <c r="AK160" s="57"/>
      <c r="AL160" s="57"/>
      <c r="AM160" s="57"/>
      <c r="AN160" s="57"/>
      <c r="AO160" s="57"/>
      <c r="AP160" s="57"/>
      <c r="AQ160" s="57"/>
      <c r="AR160" s="57"/>
      <c r="AS160" s="57"/>
    </row>
    <row r="161" spans="1:45">
      <c r="A161" s="57">
        <v>13</v>
      </c>
      <c r="B161" s="57">
        <v>2027</v>
      </c>
      <c r="C161" s="62">
        <f>SUM('4. Metinis CAPEX'!G$9:G$21)</f>
        <v>0</v>
      </c>
      <c r="D161" s="62" cm="1">
        <f t="array" ref="D161">SUMPRODUCT('4. Metinis CAPEX'!G$9:G$21,IFERROR('2. Investicijos'!$N$5:$N$17/'2. Investicijos'!$H$5:$H$17,0))</f>
        <v>0</v>
      </c>
      <c r="E161" s="62" cm="1">
        <f t="array" ref="E161">SUMPRODUCT('4. Metinis CAPEX'!G$9:G$21,IFERROR(('2. Investicijos'!$I$5:$I$17+'2. Investicijos'!$J$5:$J$17+'2. Investicijos'!$K$5:$K$17+'2. Investicijos'!$L$5:$L$17)/'2. Investicijos'!$H$5:$H$17,0))</f>
        <v>0</v>
      </c>
      <c r="F161" s="62" cm="1">
        <f t="array" ref="F161">SUM('2. Investicijos'!$H$5:$H$17*IF('2. Investicijos'!$G$5:$G$17&lt;=35,30%,40%))</f>
        <v>0</v>
      </c>
      <c r="G161" s="62" cm="1">
        <f t="array" ref="G161">IF(AND(2027&gt;=2026,2027&lt;2026+'6. Aprašo scenarijus'!$C$4),SUM('2. Investicijos'!$H$5:$H$17*IF('2. Investicijos'!$G$5:$G$17&lt;=35,30%,40%))/'6. Aprašo scenarijus'!$C$4,0)</f>
        <v>0</v>
      </c>
      <c r="H161" s="62">
        <f t="shared" si="61"/>
        <v>0</v>
      </c>
      <c r="I161" s="62">
        <f>SUM(G$5:G$17)</f>
        <v>0</v>
      </c>
      <c r="J161" s="62" t="e" cm="1">
        <f t="array" ref="J161">K161+L161+MAX(0,-R160)*IFERROR(SUMPRODUCT(IF('2. Investicijos'!$N$5:$N$17&gt;('2. Investicijos'!$H$5:$H$17*IF('2. Investicijos'!$G$5:$G$17&lt;=35,30%,40%)),'2. Investicijos'!$N$5:$N$17-('2. Investicijos'!$H$5:$H$17*IF('2. Investicijos'!$G$5:$G$17&lt;=35,30%,40%)),0),'2. Investicijos'!$O$5:$O$17/100)/SUM(IF('2. Investicijos'!$N$5:$N$17&gt;('2. Investicijos'!$H$5:$H$17*IF('2. Investicijos'!$G$5:$G$17&lt;=35,30%,40%)),'2. Investicijos'!$N$5:$N$17-('2. Investicijos'!$H$5:$H$17*IF('2. Investicijos'!$G$5:$G$17&lt;=35,30%,40%)),0)),0)</f>
        <v>#VALUE!</v>
      </c>
      <c r="K161" s="62">
        <f>SUM(AA$5:AA$17)</f>
        <v>0</v>
      </c>
      <c r="L161" s="62">
        <f>SUM(Q$5:Q$17)</f>
        <v>0</v>
      </c>
      <c r="M161" s="62">
        <f>SUM(AK$5:AK$17)</f>
        <v>0</v>
      </c>
      <c r="N161" s="62">
        <f>'3. Finansinės prielaidos'!D30+M161</f>
        <v>0</v>
      </c>
      <c r="O161" s="62">
        <f>'3. Finansinės prielaidos'!D31</f>
        <v>0</v>
      </c>
      <c r="P161" s="62">
        <f>'3. Finansinės prielaidos'!D32</f>
        <v>0</v>
      </c>
      <c r="Q161" s="62" t="e">
        <f t="shared" si="62"/>
        <v>#VALUE!</v>
      </c>
      <c r="R161" s="62" t="e">
        <f>R160+('3. Finansinės prielaidos'!D31-'3. Finansinės prielaidos'!C31)+Q161</f>
        <v>#VALUE!</v>
      </c>
      <c r="S161" s="62" t="e" cm="1">
        <f t="array" ref="S161">SUMPRODUCT(--(2027&gt;'2. Investicijos'!$F$5:$F$17),--(2027&lt;='2. Investicijos'!$F$5:$F$17+'2. Investicijos'!$G$5:$G$17),IFERROR(('2. Investicijos'!$M$5:$M$17+IF('2. Investicijos'!$N$5:$N$17&gt;('2. Investicijos'!$H$5:$H$17*IF('2. Investicijos'!$G$5:$G$17&lt;=35,30%,40%)),'2. Investicijos'!$N$5:$N$17-('2. Investicijos'!$H$5:$H$17*IF('2. Investicijos'!$G$5:$G$17&lt;=35,30%,40%)),0)+('2. Investicijos'!$H$5:$H$17*IF('2. Investicijos'!$G$5:$G$17&lt;=35,30%,40%)))/'2. Investicijos'!$G$5:$G$17,0))+SUMPRODUCT(--(2027&gt;'2. Investicijos'!$F$5:$F$17),--(2027&lt;='2. Investicijos'!$F$5:$F$17+'2. Investicijos'!$G$5:$G$17),IFERROR(('2. Investicijos'!$M$5:$M$17+IF('2. Investicijos'!$N$5:$N$17&gt;('2. Investicijos'!$H$5:$H$17*IF('2. Investicijos'!$G$5:$G$17&lt;=35,30%,40%)),'2. Investicijos'!$N$5:$N$17-('2. Investicijos'!$H$5:$H$17*IF('2. Investicijos'!$G$5:$G$17&lt;=35,30%,40%)),0))*(1-((2027-'2. Investicijos'!$F$5:$F$17)-1)/'2. Investicijos'!$G$5:$G$17),0)*'5. 0% scenarijus'!$C$5)</f>
        <v>#VALUE!</v>
      </c>
      <c r="T161" s="62" t="e">
        <f>'3. Finansinės prielaidos'!D29+S161+G161</f>
        <v>#VALUE!</v>
      </c>
      <c r="U161" s="62" t="e">
        <f t="shared" si="63"/>
        <v>#VALUE!</v>
      </c>
      <c r="V161" s="72" t="e">
        <f t="shared" si="64"/>
        <v>#VALUE!</v>
      </c>
      <c r="W161" s="72" t="e">
        <f t="shared" si="65"/>
        <v>#VALUE!</v>
      </c>
      <c r="X161" s="57" t="e">
        <f t="shared" si="66"/>
        <v>#VALUE!</v>
      </c>
      <c r="Y161" s="57" t="e">
        <f t="shared" si="67"/>
        <v>#VALUE!</v>
      </c>
      <c r="Z161" s="57"/>
      <c r="AA161" s="57"/>
      <c r="AB161" s="57"/>
      <c r="AC161" s="57"/>
      <c r="AD161" s="57"/>
      <c r="AE161" s="57"/>
      <c r="AF161" s="57"/>
      <c r="AG161" s="57"/>
      <c r="AH161" s="57"/>
      <c r="AI161" s="57"/>
      <c r="AJ161" s="57"/>
      <c r="AK161" s="57"/>
      <c r="AL161" s="57"/>
      <c r="AM161" s="57"/>
      <c r="AN161" s="57"/>
      <c r="AO161" s="57"/>
      <c r="AP161" s="57"/>
      <c r="AQ161" s="57"/>
      <c r="AR161" s="57"/>
      <c r="AS161" s="57"/>
    </row>
    <row r="162" spans="1:45">
      <c r="A162" s="57">
        <v>13</v>
      </c>
      <c r="B162" s="57">
        <v>2028</v>
      </c>
      <c r="C162" s="62">
        <f>SUM('4. Metinis CAPEX'!H$9:H$21)</f>
        <v>0</v>
      </c>
      <c r="D162" s="62" cm="1">
        <f t="array" ref="D162">SUMPRODUCT('4. Metinis CAPEX'!H$9:H$21,IFERROR('2. Investicijos'!$N$5:$N$17/'2. Investicijos'!$H$5:$H$17,0))</f>
        <v>0</v>
      </c>
      <c r="E162" s="62" cm="1">
        <f t="array" ref="E162">SUMPRODUCT('4. Metinis CAPEX'!H$9:H$21,IFERROR(('2. Investicijos'!$I$5:$I$17+'2. Investicijos'!$J$5:$J$17+'2. Investicijos'!$K$5:$K$17+'2. Investicijos'!$L$5:$L$17)/'2. Investicijos'!$H$5:$H$17,0))</f>
        <v>0</v>
      </c>
      <c r="F162" s="62" cm="1">
        <f t="array" ref="F162">SUM('2. Investicijos'!$H$5:$H$17*IF('2. Investicijos'!$G$5:$G$17&lt;=35,30%,40%))</f>
        <v>0</v>
      </c>
      <c r="G162" s="62" cm="1">
        <f t="array" ref="G162">IF(AND(2028&gt;=2026,2028&lt;2026+'6. Aprašo scenarijus'!$C$4),SUM('2. Investicijos'!$H$5:$H$17*IF('2. Investicijos'!$G$5:$G$17&lt;=35,30%,40%))/'6. Aprašo scenarijus'!$C$4,0)</f>
        <v>0</v>
      </c>
      <c r="H162" s="62">
        <f t="shared" si="61"/>
        <v>0</v>
      </c>
      <c r="I162" s="62">
        <f>SUM(H$5:H$17)</f>
        <v>0</v>
      </c>
      <c r="J162" s="62" t="e" cm="1">
        <f t="array" ref="J162">K162+L162+MAX(0,-R161)*IFERROR(SUMPRODUCT(IF('2. Investicijos'!$N$5:$N$17&gt;('2. Investicijos'!$H$5:$H$17*IF('2. Investicijos'!$G$5:$G$17&lt;=35,30%,40%)),'2. Investicijos'!$N$5:$N$17-('2. Investicijos'!$H$5:$H$17*IF('2. Investicijos'!$G$5:$G$17&lt;=35,30%,40%)),0),'2. Investicijos'!$O$5:$O$17/100)/SUM(IF('2. Investicijos'!$N$5:$N$17&gt;('2. Investicijos'!$H$5:$H$17*IF('2. Investicijos'!$G$5:$G$17&lt;=35,30%,40%)),'2. Investicijos'!$N$5:$N$17-('2. Investicijos'!$H$5:$H$17*IF('2. Investicijos'!$G$5:$G$17&lt;=35,30%,40%)),0)),0)</f>
        <v>#VALUE!</v>
      </c>
      <c r="K162" s="62">
        <f>SUM(AB$5:AB$17)</f>
        <v>0</v>
      </c>
      <c r="L162" s="62">
        <f>SUM(R$5:R$17)</f>
        <v>0</v>
      </c>
      <c r="M162" s="62">
        <f>SUM(AL$5:AL$17)</f>
        <v>0</v>
      </c>
      <c r="N162" s="62">
        <f>'3. Finansinės prielaidos'!E30+M162</f>
        <v>0</v>
      </c>
      <c r="O162" s="62">
        <f>'3. Finansinės prielaidos'!E31</f>
        <v>0</v>
      </c>
      <c r="P162" s="62">
        <f>'3. Finansinės prielaidos'!E32</f>
        <v>0</v>
      </c>
      <c r="Q162" s="62" t="e">
        <f t="shared" si="62"/>
        <v>#VALUE!</v>
      </c>
      <c r="R162" s="62" t="e">
        <f>R161+('3. Finansinės prielaidos'!E31-'3. Finansinės prielaidos'!D31)+Q162</f>
        <v>#VALUE!</v>
      </c>
      <c r="S162" s="62" t="e" cm="1">
        <f t="array" ref="S162">SUMPRODUCT(--(2028&gt;'2. Investicijos'!$F$5:$F$17),--(2028&lt;='2. Investicijos'!$F$5:$F$17+'2. Investicijos'!$G$5:$G$17),IFERROR(('2. Investicijos'!$M$5:$M$17+IF('2. Investicijos'!$N$5:$N$17&gt;('2. Investicijos'!$H$5:$H$17*IF('2. Investicijos'!$G$5:$G$17&lt;=35,30%,40%)),'2. Investicijos'!$N$5:$N$17-('2. Investicijos'!$H$5:$H$17*IF('2. Investicijos'!$G$5:$G$17&lt;=35,30%,40%)),0)+('2. Investicijos'!$H$5:$H$17*IF('2. Investicijos'!$G$5:$G$17&lt;=35,30%,40%)))/'2. Investicijos'!$G$5:$G$17,0))+SUMPRODUCT(--(2028&gt;'2. Investicijos'!$F$5:$F$17),--(2028&lt;='2. Investicijos'!$F$5:$F$17+'2. Investicijos'!$G$5:$G$17),IFERROR(('2. Investicijos'!$M$5:$M$17+IF('2. Investicijos'!$N$5:$N$17&gt;('2. Investicijos'!$H$5:$H$17*IF('2. Investicijos'!$G$5:$G$17&lt;=35,30%,40%)),'2. Investicijos'!$N$5:$N$17-('2. Investicijos'!$H$5:$H$17*IF('2. Investicijos'!$G$5:$G$17&lt;=35,30%,40%)),0))*(1-((2028-'2. Investicijos'!$F$5:$F$17)-1)/'2. Investicijos'!$G$5:$G$17),0)*'5. 0% scenarijus'!$C$5)</f>
        <v>#VALUE!</v>
      </c>
      <c r="T162" s="62" t="e">
        <f>'3. Finansinės prielaidos'!E29+S162+G162</f>
        <v>#VALUE!</v>
      </c>
      <c r="U162" s="62" t="e">
        <f t="shared" si="63"/>
        <v>#VALUE!</v>
      </c>
      <c r="V162" s="72" t="e">
        <f t="shared" si="64"/>
        <v>#VALUE!</v>
      </c>
      <c r="W162" s="72" t="e">
        <f t="shared" si="65"/>
        <v>#VALUE!</v>
      </c>
      <c r="X162" s="57" t="e">
        <f t="shared" si="66"/>
        <v>#VALUE!</v>
      </c>
      <c r="Y162" s="57" t="e">
        <f t="shared" si="67"/>
        <v>#VALUE!</v>
      </c>
      <c r="Z162" s="57"/>
      <c r="AA162" s="57"/>
      <c r="AB162" s="57"/>
      <c r="AC162" s="57"/>
      <c r="AD162" s="57"/>
      <c r="AE162" s="57"/>
      <c r="AF162" s="57"/>
      <c r="AG162" s="57"/>
      <c r="AH162" s="57"/>
      <c r="AI162" s="57"/>
      <c r="AJ162" s="57"/>
      <c r="AK162" s="57"/>
      <c r="AL162" s="57"/>
      <c r="AM162" s="57"/>
      <c r="AN162" s="57"/>
      <c r="AO162" s="57"/>
      <c r="AP162" s="57"/>
      <c r="AQ162" s="57"/>
      <c r="AR162" s="57"/>
      <c r="AS162" s="57"/>
    </row>
    <row r="163" spans="1:45">
      <c r="A163" s="57">
        <v>13</v>
      </c>
      <c r="B163" s="57">
        <v>2029</v>
      </c>
      <c r="C163" s="62">
        <f>SUM('4. Metinis CAPEX'!I$9:I$21)</f>
        <v>0</v>
      </c>
      <c r="D163" s="62" cm="1">
        <f t="array" ref="D163">SUMPRODUCT('4. Metinis CAPEX'!I$9:I$21,IFERROR('2. Investicijos'!$N$5:$N$17/'2. Investicijos'!$H$5:$H$17,0))</f>
        <v>0</v>
      </c>
      <c r="E163" s="62" cm="1">
        <f t="array" ref="E163">SUMPRODUCT('4. Metinis CAPEX'!I$9:I$21,IFERROR(('2. Investicijos'!$I$5:$I$17+'2. Investicijos'!$J$5:$J$17+'2. Investicijos'!$K$5:$K$17+'2. Investicijos'!$L$5:$L$17)/'2. Investicijos'!$H$5:$H$17,0))</f>
        <v>0</v>
      </c>
      <c r="F163" s="62" cm="1">
        <f t="array" ref="F163">SUM('2. Investicijos'!$H$5:$H$17*IF('2. Investicijos'!$G$5:$G$17&lt;=35,30%,40%))</f>
        <v>0</v>
      </c>
      <c r="G163" s="62" cm="1">
        <f t="array" ref="G163">IF(AND(2029&gt;=2026,2029&lt;2026+'6. Aprašo scenarijus'!$C$4),SUM('2. Investicijos'!$H$5:$H$17*IF('2. Investicijos'!$G$5:$G$17&lt;=35,30%,40%))/'6. Aprašo scenarijus'!$C$4,0)</f>
        <v>0</v>
      </c>
      <c r="H163" s="62">
        <f t="shared" si="61"/>
        <v>0</v>
      </c>
      <c r="I163" s="62">
        <f>SUM(I$5:I$17)</f>
        <v>0</v>
      </c>
      <c r="J163" s="62" t="e" cm="1">
        <f t="array" ref="J163">K163+L163+MAX(0,-R162)*IFERROR(SUMPRODUCT(IF('2. Investicijos'!$N$5:$N$17&gt;('2. Investicijos'!$H$5:$H$17*IF('2. Investicijos'!$G$5:$G$17&lt;=35,30%,40%)),'2. Investicijos'!$N$5:$N$17-('2. Investicijos'!$H$5:$H$17*IF('2. Investicijos'!$G$5:$G$17&lt;=35,30%,40%)),0),'2. Investicijos'!$O$5:$O$17/100)/SUM(IF('2. Investicijos'!$N$5:$N$17&gt;('2. Investicijos'!$H$5:$H$17*IF('2. Investicijos'!$G$5:$G$17&lt;=35,30%,40%)),'2. Investicijos'!$N$5:$N$17-('2. Investicijos'!$H$5:$H$17*IF('2. Investicijos'!$G$5:$G$17&lt;=35,30%,40%)),0)),0)</f>
        <v>#VALUE!</v>
      </c>
      <c r="K163" s="62">
        <f>SUM(AC$5:AC$17)</f>
        <v>0</v>
      </c>
      <c r="L163" s="62">
        <f>SUM(S$5:S$17)</f>
        <v>0</v>
      </c>
      <c r="M163" s="62">
        <f>SUM(AM$5:AM$17)</f>
        <v>0</v>
      </c>
      <c r="N163" s="62">
        <f>'3. Finansinės prielaidos'!F30+M163</f>
        <v>0</v>
      </c>
      <c r="O163" s="62">
        <f>'3. Finansinės prielaidos'!F31</f>
        <v>0</v>
      </c>
      <c r="P163" s="62">
        <f>'3. Finansinės prielaidos'!F32</f>
        <v>0</v>
      </c>
      <c r="Q163" s="62" t="e">
        <f t="shared" si="62"/>
        <v>#VALUE!</v>
      </c>
      <c r="R163" s="62" t="e">
        <f>R162+('3. Finansinės prielaidos'!F31-'3. Finansinės prielaidos'!E31)+Q163</f>
        <v>#VALUE!</v>
      </c>
      <c r="S163" s="62" t="e" cm="1">
        <f t="array" ref="S163">SUMPRODUCT(--(2029&gt;'2. Investicijos'!$F$5:$F$17),--(2029&lt;='2. Investicijos'!$F$5:$F$17+'2. Investicijos'!$G$5:$G$17),IFERROR(('2. Investicijos'!$M$5:$M$17+IF('2. Investicijos'!$N$5:$N$17&gt;('2. Investicijos'!$H$5:$H$17*IF('2. Investicijos'!$G$5:$G$17&lt;=35,30%,40%)),'2. Investicijos'!$N$5:$N$17-('2. Investicijos'!$H$5:$H$17*IF('2. Investicijos'!$G$5:$G$17&lt;=35,30%,40%)),0)+('2. Investicijos'!$H$5:$H$17*IF('2. Investicijos'!$G$5:$G$17&lt;=35,30%,40%)))/'2. Investicijos'!$G$5:$G$17,0))+SUMPRODUCT(--(2029&gt;'2. Investicijos'!$F$5:$F$17),--(2029&lt;='2. Investicijos'!$F$5:$F$17+'2. Investicijos'!$G$5:$G$17),IFERROR(('2. Investicijos'!$M$5:$M$17+IF('2. Investicijos'!$N$5:$N$17&gt;('2. Investicijos'!$H$5:$H$17*IF('2. Investicijos'!$G$5:$G$17&lt;=35,30%,40%)),'2. Investicijos'!$N$5:$N$17-('2. Investicijos'!$H$5:$H$17*IF('2. Investicijos'!$G$5:$G$17&lt;=35,30%,40%)),0))*(1-((2029-'2. Investicijos'!$F$5:$F$17)-1)/'2. Investicijos'!$G$5:$G$17),0)*'5. 0% scenarijus'!$C$5)</f>
        <v>#VALUE!</v>
      </c>
      <c r="T163" s="62" t="e">
        <f>'3. Finansinės prielaidos'!F29+S163+G163</f>
        <v>#VALUE!</v>
      </c>
      <c r="U163" s="62" t="e">
        <f t="shared" si="63"/>
        <v>#VALUE!</v>
      </c>
      <c r="V163" s="72" t="e">
        <f t="shared" si="64"/>
        <v>#VALUE!</v>
      </c>
      <c r="W163" s="72" t="e">
        <f t="shared" si="65"/>
        <v>#VALUE!</v>
      </c>
      <c r="X163" s="57" t="e">
        <f t="shared" si="66"/>
        <v>#VALUE!</v>
      </c>
      <c r="Y163" s="57" t="e">
        <f t="shared" si="67"/>
        <v>#VALUE!</v>
      </c>
      <c r="Z163" s="57"/>
      <c r="AA163" s="57"/>
      <c r="AB163" s="57"/>
      <c r="AC163" s="57"/>
      <c r="AD163" s="57"/>
      <c r="AE163" s="57"/>
      <c r="AF163" s="57"/>
      <c r="AG163" s="57"/>
      <c r="AH163" s="57"/>
      <c r="AI163" s="57"/>
      <c r="AJ163" s="57"/>
      <c r="AK163" s="57"/>
      <c r="AL163" s="57"/>
      <c r="AM163" s="57"/>
      <c r="AN163" s="57"/>
      <c r="AO163" s="57"/>
      <c r="AP163" s="57"/>
      <c r="AQ163" s="57"/>
      <c r="AR163" s="57"/>
      <c r="AS163" s="57"/>
    </row>
    <row r="164" spans="1:45">
      <c r="A164" s="57">
        <v>13</v>
      </c>
      <c r="B164" s="57">
        <v>2030</v>
      </c>
      <c r="C164" s="62">
        <f>SUM('4. Metinis CAPEX'!J$9:J$21)</f>
        <v>0</v>
      </c>
      <c r="D164" s="62" cm="1">
        <f t="array" ref="D164">SUMPRODUCT('4. Metinis CAPEX'!J$9:J$21,IFERROR('2. Investicijos'!$N$5:$N$17/'2. Investicijos'!$H$5:$H$17,0))</f>
        <v>0</v>
      </c>
      <c r="E164" s="62" cm="1">
        <f t="array" ref="E164">SUMPRODUCT('4. Metinis CAPEX'!J$9:J$21,IFERROR(('2. Investicijos'!$I$5:$I$17+'2. Investicijos'!$J$5:$J$17+'2. Investicijos'!$K$5:$K$17+'2. Investicijos'!$L$5:$L$17)/'2. Investicijos'!$H$5:$H$17,0))</f>
        <v>0</v>
      </c>
      <c r="F164" s="62" cm="1">
        <f t="array" ref="F164">SUM('2. Investicijos'!$H$5:$H$17*IF('2. Investicijos'!$G$5:$G$17&lt;=35,30%,40%))</f>
        <v>0</v>
      </c>
      <c r="G164" s="62" cm="1">
        <f t="array" ref="G164">IF(AND(2030&gt;=2026,2030&lt;2026+'6. Aprašo scenarijus'!$C$4),SUM('2. Investicijos'!$H$5:$H$17*IF('2. Investicijos'!$G$5:$G$17&lt;=35,30%,40%))/'6. Aprašo scenarijus'!$C$4,0)</f>
        <v>0</v>
      </c>
      <c r="H164" s="62">
        <f t="shared" si="61"/>
        <v>0</v>
      </c>
      <c r="I164" s="62">
        <f>SUM(J$5:J$17)</f>
        <v>0</v>
      </c>
      <c r="J164" s="62" t="e" cm="1">
        <f t="array" ref="J164">K164+L164+MAX(0,-R163)*IFERROR(SUMPRODUCT(IF('2. Investicijos'!$N$5:$N$17&gt;('2. Investicijos'!$H$5:$H$17*IF('2. Investicijos'!$G$5:$G$17&lt;=35,30%,40%)),'2. Investicijos'!$N$5:$N$17-('2. Investicijos'!$H$5:$H$17*IF('2. Investicijos'!$G$5:$G$17&lt;=35,30%,40%)),0),'2. Investicijos'!$O$5:$O$17/100)/SUM(IF('2. Investicijos'!$N$5:$N$17&gt;('2. Investicijos'!$H$5:$H$17*IF('2. Investicijos'!$G$5:$G$17&lt;=35,30%,40%)),'2. Investicijos'!$N$5:$N$17-('2. Investicijos'!$H$5:$H$17*IF('2. Investicijos'!$G$5:$G$17&lt;=35,30%,40%)),0)),0)</f>
        <v>#VALUE!</v>
      </c>
      <c r="K164" s="62">
        <f>SUM(AD$5:AD$17)</f>
        <v>0</v>
      </c>
      <c r="L164" s="62">
        <f>SUM(T$5:T$17)</f>
        <v>0</v>
      </c>
      <c r="M164" s="62">
        <f>SUM(AN$5:AN$17)</f>
        <v>0</v>
      </c>
      <c r="N164" s="62">
        <f>'3. Finansinės prielaidos'!G30+M164</f>
        <v>0</v>
      </c>
      <c r="O164" s="62">
        <f>'3. Finansinės prielaidos'!G31</f>
        <v>0</v>
      </c>
      <c r="P164" s="62">
        <f>'3. Finansinės prielaidos'!G32</f>
        <v>0</v>
      </c>
      <c r="Q164" s="62" t="e">
        <f t="shared" si="62"/>
        <v>#VALUE!</v>
      </c>
      <c r="R164" s="62" t="e">
        <f>R163+('3. Finansinės prielaidos'!G31-'3. Finansinės prielaidos'!F31)+Q164</f>
        <v>#VALUE!</v>
      </c>
      <c r="S164" s="62" t="e" cm="1">
        <f t="array" ref="S164">SUMPRODUCT(--(2030&gt;'2. Investicijos'!$F$5:$F$17),--(2030&lt;='2. Investicijos'!$F$5:$F$17+'2. Investicijos'!$G$5:$G$17),IFERROR(('2. Investicijos'!$M$5:$M$17+IF('2. Investicijos'!$N$5:$N$17&gt;('2. Investicijos'!$H$5:$H$17*IF('2. Investicijos'!$G$5:$G$17&lt;=35,30%,40%)),'2. Investicijos'!$N$5:$N$17-('2. Investicijos'!$H$5:$H$17*IF('2. Investicijos'!$G$5:$G$17&lt;=35,30%,40%)),0)+('2. Investicijos'!$H$5:$H$17*IF('2. Investicijos'!$G$5:$G$17&lt;=35,30%,40%)))/'2. Investicijos'!$G$5:$G$17,0))+SUMPRODUCT(--(2030&gt;'2. Investicijos'!$F$5:$F$17),--(2030&lt;='2. Investicijos'!$F$5:$F$17+'2. Investicijos'!$G$5:$G$17),IFERROR(('2. Investicijos'!$M$5:$M$17+IF('2. Investicijos'!$N$5:$N$17&gt;('2. Investicijos'!$H$5:$H$17*IF('2. Investicijos'!$G$5:$G$17&lt;=35,30%,40%)),'2. Investicijos'!$N$5:$N$17-('2. Investicijos'!$H$5:$H$17*IF('2. Investicijos'!$G$5:$G$17&lt;=35,30%,40%)),0))*(1-((2030-'2. Investicijos'!$F$5:$F$17)-1)/'2. Investicijos'!$G$5:$G$17),0)*'5. 0% scenarijus'!$C$5)</f>
        <v>#VALUE!</v>
      </c>
      <c r="T164" s="62" t="e">
        <f>'3. Finansinės prielaidos'!G29+S164+G164</f>
        <v>#VALUE!</v>
      </c>
      <c r="U164" s="62" t="e">
        <f t="shared" si="63"/>
        <v>#VALUE!</v>
      </c>
      <c r="V164" s="72" t="e">
        <f t="shared" si="64"/>
        <v>#VALUE!</v>
      </c>
      <c r="W164" s="72" t="e">
        <f t="shared" si="65"/>
        <v>#VALUE!</v>
      </c>
      <c r="X164" s="57" t="e">
        <f t="shared" si="66"/>
        <v>#VALUE!</v>
      </c>
      <c r="Y164" s="57" t="e">
        <f t="shared" si="67"/>
        <v>#VALUE!</v>
      </c>
      <c r="Z164" s="57"/>
      <c r="AA164" s="57"/>
      <c r="AB164" s="57"/>
      <c r="AC164" s="57"/>
      <c r="AD164" s="57"/>
      <c r="AE164" s="57"/>
      <c r="AF164" s="57"/>
      <c r="AG164" s="57"/>
      <c r="AH164" s="57"/>
      <c r="AI164" s="57"/>
      <c r="AJ164" s="57"/>
      <c r="AK164" s="57"/>
      <c r="AL164" s="57"/>
      <c r="AM164" s="57"/>
      <c r="AN164" s="57"/>
      <c r="AO164" s="57"/>
      <c r="AP164" s="57"/>
      <c r="AQ164" s="57"/>
      <c r="AR164" s="57"/>
      <c r="AS164" s="57"/>
    </row>
    <row r="165" spans="1:45">
      <c r="A165" s="57">
        <v>13</v>
      </c>
      <c r="B165" s="57">
        <v>2031</v>
      </c>
      <c r="C165" s="62">
        <f>SUM('4. Metinis CAPEX'!K$9:K$21)</f>
        <v>0</v>
      </c>
      <c r="D165" s="62" cm="1">
        <f t="array" ref="D165">SUMPRODUCT('4. Metinis CAPEX'!K$9:K$21,IFERROR('2. Investicijos'!$N$5:$N$17/'2. Investicijos'!$H$5:$H$17,0))</f>
        <v>0</v>
      </c>
      <c r="E165" s="62" cm="1">
        <f t="array" ref="E165">SUMPRODUCT('4. Metinis CAPEX'!K$9:K$21,IFERROR(('2. Investicijos'!$I$5:$I$17+'2. Investicijos'!$J$5:$J$17+'2. Investicijos'!$K$5:$K$17+'2. Investicijos'!$L$5:$L$17)/'2. Investicijos'!$H$5:$H$17,0))</f>
        <v>0</v>
      </c>
      <c r="F165" s="62" cm="1">
        <f t="array" ref="F165">SUM('2. Investicijos'!$H$5:$H$17*IF('2. Investicijos'!$G$5:$G$17&lt;=35,30%,40%))</f>
        <v>0</v>
      </c>
      <c r="G165" s="62" cm="1">
        <f t="array" ref="G165">IF(AND(2031&gt;=2026,2031&lt;2026+'6. Aprašo scenarijus'!$C$4),SUM('2. Investicijos'!$H$5:$H$17*IF('2. Investicijos'!$G$5:$G$17&lt;=35,30%,40%))/'6. Aprašo scenarijus'!$C$4,0)</f>
        <v>0</v>
      </c>
      <c r="H165" s="62">
        <f t="shared" si="61"/>
        <v>0</v>
      </c>
      <c r="I165" s="62">
        <f>SUM(K$5:K$17)</f>
        <v>0</v>
      </c>
      <c r="J165" s="62" t="e" cm="1">
        <f t="array" ref="J165">K165+L165+MAX(0,-R164)*IFERROR(SUMPRODUCT(IF('2. Investicijos'!$N$5:$N$17&gt;('2. Investicijos'!$H$5:$H$17*IF('2. Investicijos'!$G$5:$G$17&lt;=35,30%,40%)),'2. Investicijos'!$N$5:$N$17-('2. Investicijos'!$H$5:$H$17*IF('2. Investicijos'!$G$5:$G$17&lt;=35,30%,40%)),0),'2. Investicijos'!$O$5:$O$17/100)/SUM(IF('2. Investicijos'!$N$5:$N$17&gt;('2. Investicijos'!$H$5:$H$17*IF('2. Investicijos'!$G$5:$G$17&lt;=35,30%,40%)),'2. Investicijos'!$N$5:$N$17-('2. Investicijos'!$H$5:$H$17*IF('2. Investicijos'!$G$5:$G$17&lt;=35,30%,40%)),0)),0)</f>
        <v>#VALUE!</v>
      </c>
      <c r="K165" s="62">
        <f>SUM(AE$5:AE$17)</f>
        <v>0</v>
      </c>
      <c r="L165" s="62">
        <f>SUM(U$5:U$17)</f>
        <v>0</v>
      </c>
      <c r="M165" s="62">
        <f>SUM(AO$5:AO$17)</f>
        <v>0</v>
      </c>
      <c r="N165" s="62">
        <f>'3. Finansinės prielaidos'!H30+M165</f>
        <v>0</v>
      </c>
      <c r="O165" s="62">
        <f>'3. Finansinės prielaidos'!H31</f>
        <v>0</v>
      </c>
      <c r="P165" s="62">
        <f>'3. Finansinės prielaidos'!H32</f>
        <v>0</v>
      </c>
      <c r="Q165" s="62" t="e">
        <f t="shared" si="62"/>
        <v>#VALUE!</v>
      </c>
      <c r="R165" s="62" t="e">
        <f>R164+('3. Finansinės prielaidos'!H31-'3. Finansinės prielaidos'!G31)+Q165</f>
        <v>#VALUE!</v>
      </c>
      <c r="S165" s="62" t="e" cm="1">
        <f t="array" ref="S165">SUMPRODUCT(--(2031&gt;'2. Investicijos'!$F$5:$F$17),--(2031&lt;='2. Investicijos'!$F$5:$F$17+'2. Investicijos'!$G$5:$G$17),IFERROR(('2. Investicijos'!$M$5:$M$17+IF('2. Investicijos'!$N$5:$N$17&gt;('2. Investicijos'!$H$5:$H$17*IF('2. Investicijos'!$G$5:$G$17&lt;=35,30%,40%)),'2. Investicijos'!$N$5:$N$17-('2. Investicijos'!$H$5:$H$17*IF('2. Investicijos'!$G$5:$G$17&lt;=35,30%,40%)),0)+('2. Investicijos'!$H$5:$H$17*IF('2. Investicijos'!$G$5:$G$17&lt;=35,30%,40%)))/'2. Investicijos'!$G$5:$G$17,0))+SUMPRODUCT(--(2031&gt;'2. Investicijos'!$F$5:$F$17),--(2031&lt;='2. Investicijos'!$F$5:$F$17+'2. Investicijos'!$G$5:$G$17),IFERROR(('2. Investicijos'!$M$5:$M$17+IF('2. Investicijos'!$N$5:$N$17&gt;('2. Investicijos'!$H$5:$H$17*IF('2. Investicijos'!$G$5:$G$17&lt;=35,30%,40%)),'2. Investicijos'!$N$5:$N$17-('2. Investicijos'!$H$5:$H$17*IF('2. Investicijos'!$G$5:$G$17&lt;=35,30%,40%)),0))*(1-((2031-'2. Investicijos'!$F$5:$F$17)-1)/'2. Investicijos'!$G$5:$G$17),0)*'5. 0% scenarijus'!$C$5)</f>
        <v>#VALUE!</v>
      </c>
      <c r="T165" s="62" t="e">
        <f>'3. Finansinės prielaidos'!H29+S165+G165</f>
        <v>#VALUE!</v>
      </c>
      <c r="U165" s="62" t="e">
        <f t="shared" si="63"/>
        <v>#VALUE!</v>
      </c>
      <c r="V165" s="72" t="e">
        <f t="shared" si="64"/>
        <v>#VALUE!</v>
      </c>
      <c r="W165" s="72" t="e">
        <f t="shared" si="65"/>
        <v>#VALUE!</v>
      </c>
      <c r="X165" s="57" t="e">
        <f t="shared" si="66"/>
        <v>#VALUE!</v>
      </c>
      <c r="Y165" s="57" t="e">
        <f t="shared" si="67"/>
        <v>#VALUE!</v>
      </c>
      <c r="Z165" s="57"/>
      <c r="AA165" s="57"/>
      <c r="AB165" s="57"/>
      <c r="AC165" s="57"/>
      <c r="AD165" s="57"/>
      <c r="AE165" s="57"/>
      <c r="AF165" s="57"/>
      <c r="AG165" s="57"/>
      <c r="AH165" s="57"/>
      <c r="AI165" s="57"/>
      <c r="AJ165" s="57"/>
      <c r="AK165" s="57"/>
      <c r="AL165" s="57"/>
      <c r="AM165" s="57"/>
      <c r="AN165" s="57"/>
      <c r="AO165" s="57"/>
      <c r="AP165" s="57"/>
      <c r="AQ165" s="57"/>
      <c r="AR165" s="57"/>
      <c r="AS165" s="57"/>
    </row>
    <row r="166" spans="1:45">
      <c r="A166" s="57">
        <v>13</v>
      </c>
      <c r="B166" s="57">
        <v>2032</v>
      </c>
      <c r="C166" s="62">
        <f>SUM('4. Metinis CAPEX'!L$9:L$21)</f>
        <v>0</v>
      </c>
      <c r="D166" s="62" cm="1">
        <f t="array" ref="D166">SUMPRODUCT('4. Metinis CAPEX'!L$9:L$21,IFERROR('2. Investicijos'!$N$5:$N$17/'2. Investicijos'!$H$5:$H$17,0))</f>
        <v>0</v>
      </c>
      <c r="E166" s="62" cm="1">
        <f t="array" ref="E166">SUMPRODUCT('4. Metinis CAPEX'!L$9:L$21,IFERROR(('2. Investicijos'!$I$5:$I$17+'2. Investicijos'!$J$5:$J$17+'2. Investicijos'!$K$5:$K$17+'2. Investicijos'!$L$5:$L$17)/'2. Investicijos'!$H$5:$H$17,0))</f>
        <v>0</v>
      </c>
      <c r="F166" s="62" cm="1">
        <f t="array" ref="F166">SUM('2. Investicijos'!$H$5:$H$17*IF('2. Investicijos'!$G$5:$G$17&lt;=35,30%,40%))</f>
        <v>0</v>
      </c>
      <c r="G166" s="62" cm="1">
        <f t="array" ref="G166">IF(AND(2032&gt;=2026,2032&lt;2026+'6. Aprašo scenarijus'!$C$4),SUM('2. Investicijos'!$H$5:$H$17*IF('2. Investicijos'!$G$5:$G$17&lt;=35,30%,40%))/'6. Aprašo scenarijus'!$C$4,0)</f>
        <v>0</v>
      </c>
      <c r="H166" s="62">
        <f t="shared" si="61"/>
        <v>0</v>
      </c>
      <c r="I166" s="62">
        <f>SUM(L$5:L$17)</f>
        <v>0</v>
      </c>
      <c r="J166" s="62" t="e" cm="1">
        <f t="array" ref="J166">K166+L166+MAX(0,-R165)*IFERROR(SUMPRODUCT(IF('2. Investicijos'!$N$5:$N$17&gt;('2. Investicijos'!$H$5:$H$17*IF('2. Investicijos'!$G$5:$G$17&lt;=35,30%,40%)),'2. Investicijos'!$N$5:$N$17-('2. Investicijos'!$H$5:$H$17*IF('2. Investicijos'!$G$5:$G$17&lt;=35,30%,40%)),0),'2. Investicijos'!$O$5:$O$17/100)/SUM(IF('2. Investicijos'!$N$5:$N$17&gt;('2. Investicijos'!$H$5:$H$17*IF('2. Investicijos'!$G$5:$G$17&lt;=35,30%,40%)),'2. Investicijos'!$N$5:$N$17-('2. Investicijos'!$H$5:$H$17*IF('2. Investicijos'!$G$5:$G$17&lt;=35,30%,40%)),0)),0)</f>
        <v>#VALUE!</v>
      </c>
      <c r="K166" s="62">
        <f>SUM(AF$5:AF$17)</f>
        <v>0</v>
      </c>
      <c r="L166" s="62">
        <f>SUM(V$5:V$17)</f>
        <v>0</v>
      </c>
      <c r="M166" s="62">
        <f>SUM(AP$5:AP$17)</f>
        <v>0</v>
      </c>
      <c r="N166" s="62">
        <f>'3. Finansinės prielaidos'!I30+M166</f>
        <v>0</v>
      </c>
      <c r="O166" s="62">
        <f>'3. Finansinės prielaidos'!I31</f>
        <v>0</v>
      </c>
      <c r="P166" s="62">
        <f>'3. Finansinės prielaidos'!I32</f>
        <v>0</v>
      </c>
      <c r="Q166" s="62" t="e">
        <f t="shared" si="62"/>
        <v>#VALUE!</v>
      </c>
      <c r="R166" s="62" t="e">
        <f>R165+('3. Finansinės prielaidos'!I31-'3. Finansinės prielaidos'!H31)+Q166</f>
        <v>#VALUE!</v>
      </c>
      <c r="S166" s="62" t="e" cm="1">
        <f t="array" ref="S166">SUMPRODUCT(--(2032&gt;'2. Investicijos'!$F$5:$F$17),--(2032&lt;='2. Investicijos'!$F$5:$F$17+'2. Investicijos'!$G$5:$G$17),IFERROR(('2. Investicijos'!$M$5:$M$17+IF('2. Investicijos'!$N$5:$N$17&gt;('2. Investicijos'!$H$5:$H$17*IF('2. Investicijos'!$G$5:$G$17&lt;=35,30%,40%)),'2. Investicijos'!$N$5:$N$17-('2. Investicijos'!$H$5:$H$17*IF('2. Investicijos'!$G$5:$G$17&lt;=35,30%,40%)),0)+('2. Investicijos'!$H$5:$H$17*IF('2. Investicijos'!$G$5:$G$17&lt;=35,30%,40%)))/'2. Investicijos'!$G$5:$G$17,0))+SUMPRODUCT(--(2032&gt;'2. Investicijos'!$F$5:$F$17),--(2032&lt;='2. Investicijos'!$F$5:$F$17+'2. Investicijos'!$G$5:$G$17),IFERROR(('2. Investicijos'!$M$5:$M$17+IF('2. Investicijos'!$N$5:$N$17&gt;('2. Investicijos'!$H$5:$H$17*IF('2. Investicijos'!$G$5:$G$17&lt;=35,30%,40%)),'2. Investicijos'!$N$5:$N$17-('2. Investicijos'!$H$5:$H$17*IF('2. Investicijos'!$G$5:$G$17&lt;=35,30%,40%)),0))*(1-((2032-'2. Investicijos'!$F$5:$F$17)-1)/'2. Investicijos'!$G$5:$G$17),0)*'5. 0% scenarijus'!$C$5)</f>
        <v>#VALUE!</v>
      </c>
      <c r="T166" s="62" t="e">
        <f>'3. Finansinės prielaidos'!I29+S166+G166</f>
        <v>#VALUE!</v>
      </c>
      <c r="U166" s="62" t="e">
        <f t="shared" si="63"/>
        <v>#VALUE!</v>
      </c>
      <c r="V166" s="72" t="e">
        <f t="shared" si="64"/>
        <v>#VALUE!</v>
      </c>
      <c r="W166" s="72" t="e">
        <f t="shared" si="65"/>
        <v>#VALUE!</v>
      </c>
      <c r="X166" s="57" t="e">
        <f t="shared" si="66"/>
        <v>#VALUE!</v>
      </c>
      <c r="Y166" s="57" t="e">
        <f t="shared" si="67"/>
        <v>#VALUE!</v>
      </c>
      <c r="Z166" s="57"/>
      <c r="AA166" s="57"/>
      <c r="AB166" s="57"/>
      <c r="AC166" s="57"/>
      <c r="AD166" s="57"/>
      <c r="AE166" s="57"/>
      <c r="AF166" s="57"/>
      <c r="AG166" s="57"/>
      <c r="AH166" s="57"/>
      <c r="AI166" s="57"/>
      <c r="AJ166" s="57"/>
      <c r="AK166" s="57"/>
      <c r="AL166" s="57"/>
      <c r="AM166" s="57"/>
      <c r="AN166" s="57"/>
      <c r="AO166" s="57"/>
      <c r="AP166" s="57"/>
      <c r="AQ166" s="57"/>
      <c r="AR166" s="57"/>
      <c r="AS166" s="57"/>
    </row>
    <row r="167" spans="1:45">
      <c r="A167" s="57">
        <v>13</v>
      </c>
      <c r="B167" s="57">
        <v>2033</v>
      </c>
      <c r="C167" s="62">
        <f>SUM('4. Metinis CAPEX'!M$9:M$21)</f>
        <v>0</v>
      </c>
      <c r="D167" s="62" cm="1">
        <f t="array" ref="D167">SUMPRODUCT('4. Metinis CAPEX'!M$9:M$21,IFERROR('2. Investicijos'!$N$5:$N$17/'2. Investicijos'!$H$5:$H$17,0))</f>
        <v>0</v>
      </c>
      <c r="E167" s="62" cm="1">
        <f t="array" ref="E167">SUMPRODUCT('4. Metinis CAPEX'!M$9:M$21,IFERROR(('2. Investicijos'!$I$5:$I$17+'2. Investicijos'!$J$5:$J$17+'2. Investicijos'!$K$5:$K$17+'2. Investicijos'!$L$5:$L$17)/'2. Investicijos'!$H$5:$H$17,0))</f>
        <v>0</v>
      </c>
      <c r="F167" s="62" cm="1">
        <f t="array" ref="F167">SUM('2. Investicijos'!$H$5:$H$17*IF('2. Investicijos'!$G$5:$G$17&lt;=35,30%,40%))</f>
        <v>0</v>
      </c>
      <c r="G167" s="62" cm="1">
        <f t="array" ref="G167">IF(AND(2033&gt;=2026,2033&lt;2026+'6. Aprašo scenarijus'!$C$4),SUM('2. Investicijos'!$H$5:$H$17*IF('2. Investicijos'!$G$5:$G$17&lt;=35,30%,40%))/'6. Aprašo scenarijus'!$C$4,0)</f>
        <v>0</v>
      </c>
      <c r="H167" s="62">
        <f t="shared" si="61"/>
        <v>0</v>
      </c>
      <c r="I167" s="62">
        <f>SUM(M$5:M$17)</f>
        <v>0</v>
      </c>
      <c r="J167" s="62" t="e" cm="1">
        <f t="array" ref="J167">K167+L167+MAX(0,-R166)*IFERROR(SUMPRODUCT(IF('2. Investicijos'!$N$5:$N$17&gt;('2. Investicijos'!$H$5:$H$17*IF('2. Investicijos'!$G$5:$G$17&lt;=35,30%,40%)),'2. Investicijos'!$N$5:$N$17-('2. Investicijos'!$H$5:$H$17*IF('2. Investicijos'!$G$5:$G$17&lt;=35,30%,40%)),0),'2. Investicijos'!$O$5:$O$17/100)/SUM(IF('2. Investicijos'!$N$5:$N$17&gt;('2. Investicijos'!$H$5:$H$17*IF('2. Investicijos'!$G$5:$G$17&lt;=35,30%,40%)),'2. Investicijos'!$N$5:$N$17-('2. Investicijos'!$H$5:$H$17*IF('2. Investicijos'!$G$5:$G$17&lt;=35,30%,40%)),0)),0)</f>
        <v>#VALUE!</v>
      </c>
      <c r="K167" s="62">
        <f>SUM(AG$5:AG$17)</f>
        <v>0</v>
      </c>
      <c r="L167" s="62">
        <f>SUM(W$5:W$17)</f>
        <v>0</v>
      </c>
      <c r="M167" s="62">
        <f>SUM(AQ$5:AQ$17)</f>
        <v>0</v>
      </c>
      <c r="N167" s="62">
        <f>'3. Finansinės prielaidos'!J30+M167</f>
        <v>0</v>
      </c>
      <c r="O167" s="62">
        <f>'3. Finansinės prielaidos'!J31</f>
        <v>0</v>
      </c>
      <c r="P167" s="62">
        <f>'3. Finansinės prielaidos'!J32</f>
        <v>0</v>
      </c>
      <c r="Q167" s="62" t="e">
        <f t="shared" si="62"/>
        <v>#VALUE!</v>
      </c>
      <c r="R167" s="62" t="e">
        <f>R166+('3. Finansinės prielaidos'!J31-'3. Finansinės prielaidos'!I31)+Q167</f>
        <v>#VALUE!</v>
      </c>
      <c r="S167" s="62" t="e" cm="1">
        <f t="array" ref="S167">SUMPRODUCT(--(2033&gt;'2. Investicijos'!$F$5:$F$17),--(2033&lt;='2. Investicijos'!$F$5:$F$17+'2. Investicijos'!$G$5:$G$17),IFERROR(('2. Investicijos'!$M$5:$M$17+IF('2. Investicijos'!$N$5:$N$17&gt;('2. Investicijos'!$H$5:$H$17*IF('2. Investicijos'!$G$5:$G$17&lt;=35,30%,40%)),'2. Investicijos'!$N$5:$N$17-('2. Investicijos'!$H$5:$H$17*IF('2. Investicijos'!$G$5:$G$17&lt;=35,30%,40%)),0)+('2. Investicijos'!$H$5:$H$17*IF('2. Investicijos'!$G$5:$G$17&lt;=35,30%,40%)))/'2. Investicijos'!$G$5:$G$17,0))+SUMPRODUCT(--(2033&gt;'2. Investicijos'!$F$5:$F$17),--(2033&lt;='2. Investicijos'!$F$5:$F$17+'2. Investicijos'!$G$5:$G$17),IFERROR(('2. Investicijos'!$M$5:$M$17+IF('2. Investicijos'!$N$5:$N$17&gt;('2. Investicijos'!$H$5:$H$17*IF('2. Investicijos'!$G$5:$G$17&lt;=35,30%,40%)),'2. Investicijos'!$N$5:$N$17-('2. Investicijos'!$H$5:$H$17*IF('2. Investicijos'!$G$5:$G$17&lt;=35,30%,40%)),0))*(1-((2033-'2. Investicijos'!$F$5:$F$17)-1)/'2. Investicijos'!$G$5:$G$17),0)*'5. 0% scenarijus'!$C$5)</f>
        <v>#VALUE!</v>
      </c>
      <c r="T167" s="62" t="e">
        <f>'3. Finansinės prielaidos'!J29+S167+G167</f>
        <v>#VALUE!</v>
      </c>
      <c r="U167" s="62" t="e">
        <f t="shared" si="63"/>
        <v>#VALUE!</v>
      </c>
      <c r="V167" s="72" t="e">
        <f t="shared" si="64"/>
        <v>#VALUE!</v>
      </c>
      <c r="W167" s="72" t="e">
        <f t="shared" si="65"/>
        <v>#VALUE!</v>
      </c>
      <c r="X167" s="57" t="e">
        <f t="shared" si="66"/>
        <v>#VALUE!</v>
      </c>
      <c r="Y167" s="57" t="e">
        <f t="shared" si="67"/>
        <v>#VALUE!</v>
      </c>
      <c r="Z167" s="57"/>
      <c r="AA167" s="57"/>
      <c r="AB167" s="57"/>
      <c r="AC167" s="57"/>
      <c r="AD167" s="57"/>
      <c r="AE167" s="57"/>
      <c r="AF167" s="57"/>
      <c r="AG167" s="57"/>
      <c r="AH167" s="57"/>
      <c r="AI167" s="57"/>
      <c r="AJ167" s="57"/>
      <c r="AK167" s="57"/>
      <c r="AL167" s="57"/>
      <c r="AM167" s="57"/>
      <c r="AN167" s="57"/>
      <c r="AO167" s="57"/>
      <c r="AP167" s="57"/>
      <c r="AQ167" s="57"/>
      <c r="AR167" s="57"/>
      <c r="AS167" s="57"/>
    </row>
    <row r="168" spans="1:45">
      <c r="A168" s="57">
        <v>13</v>
      </c>
      <c r="B168" s="57">
        <v>2034</v>
      </c>
      <c r="C168" s="62">
        <f>SUM('4. Metinis CAPEX'!N$9:N$21)</f>
        <v>0</v>
      </c>
      <c r="D168" s="62" cm="1">
        <f t="array" ref="D168">SUMPRODUCT('4. Metinis CAPEX'!N$9:N$21,IFERROR('2. Investicijos'!$N$5:$N$17/'2. Investicijos'!$H$5:$H$17,0))</f>
        <v>0</v>
      </c>
      <c r="E168" s="62" cm="1">
        <f t="array" ref="E168">SUMPRODUCT('4. Metinis CAPEX'!N$9:N$21,IFERROR(('2. Investicijos'!$I$5:$I$17+'2. Investicijos'!$J$5:$J$17+'2. Investicijos'!$K$5:$K$17+'2. Investicijos'!$L$5:$L$17)/'2. Investicijos'!$H$5:$H$17,0))</f>
        <v>0</v>
      </c>
      <c r="F168" s="62" cm="1">
        <f t="array" ref="F168">SUM('2. Investicijos'!$H$5:$H$17*IF('2. Investicijos'!$G$5:$G$17&lt;=35,30%,40%))</f>
        <v>0</v>
      </c>
      <c r="G168" s="62" cm="1">
        <f t="array" ref="G168">IF(AND(2034&gt;=2026,2034&lt;2026+'6. Aprašo scenarijus'!$C$4),SUM('2. Investicijos'!$H$5:$H$17*IF('2. Investicijos'!$G$5:$G$17&lt;=35,30%,40%))/'6. Aprašo scenarijus'!$C$4,0)</f>
        <v>0</v>
      </c>
      <c r="H168" s="62">
        <f t="shared" ref="H168:H199" si="68">D168-I168</f>
        <v>0</v>
      </c>
      <c r="I168" s="62">
        <f>SUM(N$5:N$17)</f>
        <v>0</v>
      </c>
      <c r="J168" s="62" t="e" cm="1">
        <f t="array" ref="J168">K168+L168+MAX(0,-R167)*IFERROR(SUMPRODUCT(IF('2. Investicijos'!$N$5:$N$17&gt;('2. Investicijos'!$H$5:$H$17*IF('2. Investicijos'!$G$5:$G$17&lt;=35,30%,40%)),'2. Investicijos'!$N$5:$N$17-('2. Investicijos'!$H$5:$H$17*IF('2. Investicijos'!$G$5:$G$17&lt;=35,30%,40%)),0),'2. Investicijos'!$O$5:$O$17/100)/SUM(IF('2. Investicijos'!$N$5:$N$17&gt;('2. Investicijos'!$H$5:$H$17*IF('2. Investicijos'!$G$5:$G$17&lt;=35,30%,40%)),'2. Investicijos'!$N$5:$N$17-('2. Investicijos'!$H$5:$H$17*IF('2. Investicijos'!$G$5:$G$17&lt;=35,30%,40%)),0)),0)</f>
        <v>#VALUE!</v>
      </c>
      <c r="K168" s="62">
        <f>SUM(AH$5:AH$17)</f>
        <v>0</v>
      </c>
      <c r="L168" s="62">
        <f>SUM(X$5:X$17)</f>
        <v>0</v>
      </c>
      <c r="M168" s="62">
        <f>SUM(AR$5:AR$17)</f>
        <v>0</v>
      </c>
      <c r="N168" s="62">
        <f>'3. Finansinės prielaidos'!K30+M168</f>
        <v>0</v>
      </c>
      <c r="O168" s="62">
        <f>'3. Finansinės prielaidos'!K31</f>
        <v>0</v>
      </c>
      <c r="P168" s="62">
        <f>'3. Finansinės prielaidos'!K32</f>
        <v>0</v>
      </c>
      <c r="Q168" s="62" t="e">
        <f t="shared" ref="Q168:Q199" si="69">S168+G168+I168+E168-C168-J168</f>
        <v>#VALUE!</v>
      </c>
      <c r="R168" s="62" t="e">
        <f>R167+('3. Finansinės prielaidos'!K31-'3. Finansinės prielaidos'!J31)+Q168</f>
        <v>#VALUE!</v>
      </c>
      <c r="S168" s="62" t="e" cm="1">
        <f t="array" ref="S168">SUMPRODUCT(--(2034&gt;'2. Investicijos'!$F$5:$F$17),--(2034&lt;='2. Investicijos'!$F$5:$F$17+'2. Investicijos'!$G$5:$G$17),IFERROR(('2. Investicijos'!$M$5:$M$17+IF('2. Investicijos'!$N$5:$N$17&gt;('2. Investicijos'!$H$5:$H$17*IF('2. Investicijos'!$G$5:$G$17&lt;=35,30%,40%)),'2. Investicijos'!$N$5:$N$17-('2. Investicijos'!$H$5:$H$17*IF('2. Investicijos'!$G$5:$G$17&lt;=35,30%,40%)),0)+('2. Investicijos'!$H$5:$H$17*IF('2. Investicijos'!$G$5:$G$17&lt;=35,30%,40%)))/'2. Investicijos'!$G$5:$G$17,0))+SUMPRODUCT(--(2034&gt;'2. Investicijos'!$F$5:$F$17),--(2034&lt;='2. Investicijos'!$F$5:$F$17+'2. Investicijos'!$G$5:$G$17),IFERROR(('2. Investicijos'!$M$5:$M$17+IF('2. Investicijos'!$N$5:$N$17&gt;('2. Investicijos'!$H$5:$H$17*IF('2. Investicijos'!$G$5:$G$17&lt;=35,30%,40%)),'2. Investicijos'!$N$5:$N$17-('2. Investicijos'!$H$5:$H$17*IF('2. Investicijos'!$G$5:$G$17&lt;=35,30%,40%)),0))*(1-((2034-'2. Investicijos'!$F$5:$F$17)-1)/'2. Investicijos'!$G$5:$G$17),0)*'5. 0% scenarijus'!$C$5)</f>
        <v>#VALUE!</v>
      </c>
      <c r="T168" s="62" t="e">
        <f>'3. Finansinės prielaidos'!K29+S168+G168</f>
        <v>#VALUE!</v>
      </c>
      <c r="U168" s="62" t="e">
        <f t="shared" ref="U168:U199" si="70">N168-R168</f>
        <v>#VALUE!</v>
      </c>
      <c r="V168" s="72" t="e">
        <f t="shared" ref="V168:V199" si="71">IF(OR(T168="",T168&lt;=0),"",U168/T168)</f>
        <v>#VALUE!</v>
      </c>
      <c r="W168" s="72" t="e">
        <f t="shared" ref="W168:W199" si="72">IF(T168&lt;=0,"",IF(P168+J168=0,999999,T168/(P168+J168)))</f>
        <v>#VALUE!</v>
      </c>
      <c r="X168" s="57" t="e">
        <f t="shared" ref="X168:X199" si="73">IF(OR(V168="",W168=""),"",IF(AND(V168&lt;=5.5,W168&gt;=1.2),"ATITINKA","NEATITINKA"))</f>
        <v>#VALUE!</v>
      </c>
      <c r="Y168" s="57" t="e">
        <f t="shared" ref="Y168:Y199" si="74">IF(X168&lt;&gt;"NEATITINKA","",IF(T168&lt;=0,"EBITDA ≤ 0",IF(AND(V168&gt;5.5,W168&lt;1.2),"Abu",IF(V168&gt;5.5,"Net Debt / EBITDA","DSCR"))))</f>
        <v>#VALUE!</v>
      </c>
      <c r="Z168" s="57"/>
      <c r="AA168" s="57"/>
      <c r="AB168" s="57"/>
      <c r="AC168" s="57"/>
      <c r="AD168" s="57"/>
      <c r="AE168" s="57"/>
      <c r="AF168" s="57"/>
      <c r="AG168" s="57"/>
      <c r="AH168" s="57"/>
      <c r="AI168" s="57"/>
      <c r="AJ168" s="57"/>
      <c r="AK168" s="57"/>
      <c r="AL168" s="57"/>
      <c r="AM168" s="57"/>
      <c r="AN168" s="57"/>
      <c r="AO168" s="57"/>
      <c r="AP168" s="57"/>
      <c r="AQ168" s="57"/>
      <c r="AR168" s="57"/>
      <c r="AS168" s="57"/>
    </row>
    <row r="169" spans="1:45">
      <c r="A169" s="57">
        <v>13</v>
      </c>
      <c r="B169" s="57">
        <v>2035</v>
      </c>
      <c r="C169" s="62">
        <f>SUM('4. Metinis CAPEX'!O$9:O$21)</f>
        <v>0</v>
      </c>
      <c r="D169" s="62" cm="1">
        <f t="array" ref="D169">SUMPRODUCT('4. Metinis CAPEX'!O$9:O$21,IFERROR('2. Investicijos'!$N$5:$N$17/'2. Investicijos'!$H$5:$H$17,0))</f>
        <v>0</v>
      </c>
      <c r="E169" s="62" cm="1">
        <f t="array" ref="E169">SUMPRODUCT('4. Metinis CAPEX'!O$9:O$21,IFERROR(('2. Investicijos'!$I$5:$I$17+'2. Investicijos'!$J$5:$J$17+'2. Investicijos'!$K$5:$K$17+'2. Investicijos'!$L$5:$L$17)/'2. Investicijos'!$H$5:$H$17,0))</f>
        <v>0</v>
      </c>
      <c r="F169" s="62" cm="1">
        <f t="array" ref="F169">SUM('2. Investicijos'!$H$5:$H$17*IF('2. Investicijos'!$G$5:$G$17&lt;=35,30%,40%))</f>
        <v>0</v>
      </c>
      <c r="G169" s="62" cm="1">
        <f t="array" ref="G169">IF(AND(2035&gt;=2026,2035&lt;2026+'6. Aprašo scenarijus'!$C$4),SUM('2. Investicijos'!$H$5:$H$17*IF('2. Investicijos'!$G$5:$G$17&lt;=35,30%,40%))/'6. Aprašo scenarijus'!$C$4,0)</f>
        <v>0</v>
      </c>
      <c r="H169" s="62">
        <f t="shared" si="68"/>
        <v>0</v>
      </c>
      <c r="I169" s="62">
        <f>SUM(O$5:O$17)</f>
        <v>0</v>
      </c>
      <c r="J169" s="62" t="e" cm="1">
        <f t="array" ref="J169">K169+L169+MAX(0,-R168)*IFERROR(SUMPRODUCT(IF('2. Investicijos'!$N$5:$N$17&gt;('2. Investicijos'!$H$5:$H$17*IF('2. Investicijos'!$G$5:$G$17&lt;=35,30%,40%)),'2. Investicijos'!$N$5:$N$17-('2. Investicijos'!$H$5:$H$17*IF('2. Investicijos'!$G$5:$G$17&lt;=35,30%,40%)),0),'2. Investicijos'!$O$5:$O$17/100)/SUM(IF('2. Investicijos'!$N$5:$N$17&gt;('2. Investicijos'!$H$5:$H$17*IF('2. Investicijos'!$G$5:$G$17&lt;=35,30%,40%)),'2. Investicijos'!$N$5:$N$17-('2. Investicijos'!$H$5:$H$17*IF('2. Investicijos'!$G$5:$G$17&lt;=35,30%,40%)),0)),0)</f>
        <v>#VALUE!</v>
      </c>
      <c r="K169" s="62">
        <f>SUM(AI$5:AI$17)</f>
        <v>0</v>
      </c>
      <c r="L169" s="62">
        <f>SUM(Y$5:Y$17)</f>
        <v>0</v>
      </c>
      <c r="M169" s="62">
        <f>SUM(AS$5:AS$17)</f>
        <v>0</v>
      </c>
      <c r="N169" s="62">
        <f>'3. Finansinės prielaidos'!L30+M169</f>
        <v>0</v>
      </c>
      <c r="O169" s="62">
        <f>'3. Finansinės prielaidos'!L31</f>
        <v>0</v>
      </c>
      <c r="P169" s="62">
        <f>'3. Finansinės prielaidos'!L32</f>
        <v>0</v>
      </c>
      <c r="Q169" s="62" t="e">
        <f t="shared" si="69"/>
        <v>#VALUE!</v>
      </c>
      <c r="R169" s="62" t="e">
        <f>R168+('3. Finansinės prielaidos'!L31-'3. Finansinės prielaidos'!K31)+Q169</f>
        <v>#VALUE!</v>
      </c>
      <c r="S169" s="62" t="e" cm="1">
        <f t="array" ref="S169">SUMPRODUCT(--(2035&gt;'2. Investicijos'!$F$5:$F$17),--(2035&lt;='2. Investicijos'!$F$5:$F$17+'2. Investicijos'!$G$5:$G$17),IFERROR(('2. Investicijos'!$M$5:$M$17+IF('2. Investicijos'!$N$5:$N$17&gt;('2. Investicijos'!$H$5:$H$17*IF('2. Investicijos'!$G$5:$G$17&lt;=35,30%,40%)),'2. Investicijos'!$N$5:$N$17-('2. Investicijos'!$H$5:$H$17*IF('2. Investicijos'!$G$5:$G$17&lt;=35,30%,40%)),0)+('2. Investicijos'!$H$5:$H$17*IF('2. Investicijos'!$G$5:$G$17&lt;=35,30%,40%)))/'2. Investicijos'!$G$5:$G$17,0))+SUMPRODUCT(--(2035&gt;'2. Investicijos'!$F$5:$F$17),--(2035&lt;='2. Investicijos'!$F$5:$F$17+'2. Investicijos'!$G$5:$G$17),IFERROR(('2. Investicijos'!$M$5:$M$17+IF('2. Investicijos'!$N$5:$N$17&gt;('2. Investicijos'!$H$5:$H$17*IF('2. Investicijos'!$G$5:$G$17&lt;=35,30%,40%)),'2. Investicijos'!$N$5:$N$17-('2. Investicijos'!$H$5:$H$17*IF('2. Investicijos'!$G$5:$G$17&lt;=35,30%,40%)),0))*(1-((2035-'2. Investicijos'!$F$5:$F$17)-1)/'2. Investicijos'!$G$5:$G$17),0)*'5. 0% scenarijus'!$C$5)</f>
        <v>#VALUE!</v>
      </c>
      <c r="T169" s="62" t="e">
        <f>'3. Finansinės prielaidos'!L29+S169+G169</f>
        <v>#VALUE!</v>
      </c>
      <c r="U169" s="62" t="e">
        <f t="shared" si="70"/>
        <v>#VALUE!</v>
      </c>
      <c r="V169" s="72" t="e">
        <f t="shared" si="71"/>
        <v>#VALUE!</v>
      </c>
      <c r="W169" s="72" t="e">
        <f t="shared" si="72"/>
        <v>#VALUE!</v>
      </c>
      <c r="X169" s="57" t="e">
        <f t="shared" si="73"/>
        <v>#VALUE!</v>
      </c>
      <c r="Y169" s="57" t="e">
        <f t="shared" si="74"/>
        <v>#VALUE!</v>
      </c>
      <c r="Z169" s="57"/>
      <c r="AA169" s="57"/>
      <c r="AB169" s="57"/>
      <c r="AC169" s="57"/>
      <c r="AD169" s="57"/>
      <c r="AE169" s="57"/>
      <c r="AF169" s="57"/>
      <c r="AG169" s="57"/>
      <c r="AH169" s="57"/>
      <c r="AI169" s="57"/>
      <c r="AJ169" s="57"/>
      <c r="AK169" s="57"/>
      <c r="AL169" s="57"/>
      <c r="AM169" s="57"/>
      <c r="AN169" s="57"/>
      <c r="AO169" s="57"/>
      <c r="AP169" s="57"/>
      <c r="AQ169" s="57"/>
      <c r="AR169" s="57"/>
      <c r="AS169" s="57"/>
    </row>
    <row r="170" spans="1:45">
      <c r="A170" s="57">
        <v>14</v>
      </c>
      <c r="B170" s="57">
        <v>2026</v>
      </c>
      <c r="C170" s="62">
        <f>SUM('4. Metinis CAPEX'!F$9:F$22)</f>
        <v>0</v>
      </c>
      <c r="D170" s="62" cm="1">
        <f t="array" ref="D170">SUMPRODUCT('4. Metinis CAPEX'!F$9:F$22,IFERROR('2. Investicijos'!$N$5:$N$18/'2. Investicijos'!$H$5:$H$18,0))</f>
        <v>0</v>
      </c>
      <c r="E170" s="62" cm="1">
        <f t="array" ref="E170">SUMPRODUCT('4. Metinis CAPEX'!F$9:F$22,IFERROR(('2. Investicijos'!$I$5:$I$18+'2. Investicijos'!$J$5:$J$18+'2. Investicijos'!$K$5:$K$18+'2. Investicijos'!$L$5:$L$18)/'2. Investicijos'!$H$5:$H$18,0))</f>
        <v>0</v>
      </c>
      <c r="F170" s="62" cm="1">
        <f t="array" ref="F170">SUM('2. Investicijos'!$H$5:$H$18*IF('2. Investicijos'!$G$5:$G$18&lt;=35,30%,40%))</f>
        <v>0</v>
      </c>
      <c r="G170" s="62" cm="1">
        <f t="array" ref="G170">IF(AND(2026&gt;=2026,2026&lt;2026+'6. Aprašo scenarijus'!$C$4),SUM('2. Investicijos'!$H$5:$H$18*IF('2. Investicijos'!$G$5:$G$18&lt;=35,30%,40%))/'6. Aprašo scenarijus'!$C$4,0)</f>
        <v>0</v>
      </c>
      <c r="H170" s="62">
        <f t="shared" si="68"/>
        <v>0</v>
      </c>
      <c r="I170" s="62">
        <f>SUM(F$5:F$18)</f>
        <v>0</v>
      </c>
      <c r="J170" s="62">
        <f>0</f>
        <v>0</v>
      </c>
      <c r="K170" s="62">
        <f>SUM(Z$5:Z$18)</f>
        <v>0</v>
      </c>
      <c r="L170" s="62">
        <f>SUM(P$5:P$18)</f>
        <v>0</v>
      </c>
      <c r="M170" s="62">
        <f>SUM(AJ$5:AJ$18)</f>
        <v>0</v>
      </c>
      <c r="N170" s="62">
        <f>'3. Finansinės prielaidos'!C30+M170</f>
        <v>0</v>
      </c>
      <c r="O170" s="62">
        <f>'3. Finansinės prielaidos'!C31</f>
        <v>0</v>
      </c>
      <c r="P170" s="62">
        <f>'3. Finansinės prielaidos'!C32</f>
        <v>0</v>
      </c>
      <c r="Q170" s="62" t="e">
        <f t="shared" si="69"/>
        <v>#VALUE!</v>
      </c>
      <c r="R170" s="62" t="e">
        <f>O170+Q170</f>
        <v>#VALUE!</v>
      </c>
      <c r="S170" s="62" t="e" cm="1">
        <f t="array" ref="S170">SUMPRODUCT(--(2026&gt;'2. Investicijos'!$F$5:$F$18),--(2026&lt;='2. Investicijos'!$F$5:$F$18+'2. Investicijos'!$G$5:$G$18),IFERROR(('2. Investicijos'!$M$5:$M$18+IF('2. Investicijos'!$N$5:$N$18&gt;('2. Investicijos'!$H$5:$H$18*IF('2. Investicijos'!$G$5:$G$18&lt;=35,30%,40%)),'2. Investicijos'!$N$5:$N$18-('2. Investicijos'!$H$5:$H$18*IF('2. Investicijos'!$G$5:$G$18&lt;=35,30%,40%)),0)+('2. Investicijos'!$H$5:$H$18*IF('2. Investicijos'!$G$5:$G$18&lt;=35,30%,40%)))/'2. Investicijos'!$G$5:$G$18,0))+SUMPRODUCT(--(2026&gt;'2. Investicijos'!$F$5:$F$18),--(2026&lt;='2. Investicijos'!$F$5:$F$18+'2. Investicijos'!$G$5:$G$18),IFERROR(('2. Investicijos'!$M$5:$M$18+IF('2. Investicijos'!$N$5:$N$18&gt;('2. Investicijos'!$H$5:$H$18*IF('2. Investicijos'!$G$5:$G$18&lt;=35,30%,40%)),'2. Investicijos'!$N$5:$N$18-('2. Investicijos'!$H$5:$H$18*IF('2. Investicijos'!$G$5:$G$18&lt;=35,30%,40%)),0))*(1-((2026-'2. Investicijos'!$F$5:$F$18)-1)/'2. Investicijos'!$G$5:$G$18),0)*'5. 0% scenarijus'!$C$5)</f>
        <v>#VALUE!</v>
      </c>
      <c r="T170" s="62" t="e">
        <f>'3. Finansinės prielaidos'!C29+S170+G170</f>
        <v>#VALUE!</v>
      </c>
      <c r="U170" s="62" t="e">
        <f t="shared" si="70"/>
        <v>#VALUE!</v>
      </c>
      <c r="V170" s="72" t="e">
        <f t="shared" si="71"/>
        <v>#VALUE!</v>
      </c>
      <c r="W170" s="72" t="e">
        <f t="shared" si="72"/>
        <v>#VALUE!</v>
      </c>
      <c r="X170" s="57" t="e">
        <f t="shared" si="73"/>
        <v>#VALUE!</v>
      </c>
      <c r="Y170" s="57" t="e">
        <f t="shared" si="74"/>
        <v>#VALUE!</v>
      </c>
      <c r="Z170" s="57"/>
      <c r="AA170" s="57"/>
      <c r="AB170" s="57"/>
      <c r="AC170" s="57"/>
      <c r="AD170" s="57"/>
      <c r="AE170" s="57"/>
      <c r="AF170" s="57"/>
      <c r="AG170" s="57"/>
      <c r="AH170" s="57"/>
      <c r="AI170" s="57"/>
      <c r="AJ170" s="57"/>
      <c r="AK170" s="57"/>
      <c r="AL170" s="57"/>
      <c r="AM170" s="57"/>
      <c r="AN170" s="57"/>
      <c r="AO170" s="57"/>
      <c r="AP170" s="57"/>
      <c r="AQ170" s="57"/>
      <c r="AR170" s="57"/>
      <c r="AS170" s="57"/>
    </row>
    <row r="171" spans="1:45">
      <c r="A171" s="57">
        <v>14</v>
      </c>
      <c r="B171" s="57">
        <v>2027</v>
      </c>
      <c r="C171" s="62">
        <f>SUM('4. Metinis CAPEX'!G$9:G$22)</f>
        <v>0</v>
      </c>
      <c r="D171" s="62" cm="1">
        <f t="array" ref="D171">SUMPRODUCT('4. Metinis CAPEX'!G$9:G$22,IFERROR('2. Investicijos'!$N$5:$N$18/'2. Investicijos'!$H$5:$H$18,0))</f>
        <v>0</v>
      </c>
      <c r="E171" s="62" cm="1">
        <f t="array" ref="E171">SUMPRODUCT('4. Metinis CAPEX'!G$9:G$22,IFERROR(('2. Investicijos'!$I$5:$I$18+'2. Investicijos'!$J$5:$J$18+'2. Investicijos'!$K$5:$K$18+'2. Investicijos'!$L$5:$L$18)/'2. Investicijos'!$H$5:$H$18,0))</f>
        <v>0</v>
      </c>
      <c r="F171" s="62" cm="1">
        <f t="array" ref="F171">SUM('2. Investicijos'!$H$5:$H$18*IF('2. Investicijos'!$G$5:$G$18&lt;=35,30%,40%))</f>
        <v>0</v>
      </c>
      <c r="G171" s="62" cm="1">
        <f t="array" ref="G171">IF(AND(2027&gt;=2026,2027&lt;2026+'6. Aprašo scenarijus'!$C$4),SUM('2. Investicijos'!$H$5:$H$18*IF('2. Investicijos'!$G$5:$G$18&lt;=35,30%,40%))/'6. Aprašo scenarijus'!$C$4,0)</f>
        <v>0</v>
      </c>
      <c r="H171" s="62">
        <f t="shared" si="68"/>
        <v>0</v>
      </c>
      <c r="I171" s="62">
        <f>SUM(G$5:G$18)</f>
        <v>0</v>
      </c>
      <c r="J171" s="62" t="e" cm="1">
        <f t="array" ref="J171">K171+L171+MAX(0,-R170)*IFERROR(SUMPRODUCT(IF('2. Investicijos'!$N$5:$N$18&gt;('2. Investicijos'!$H$5:$H$18*IF('2. Investicijos'!$G$5:$G$18&lt;=35,30%,40%)),'2. Investicijos'!$N$5:$N$18-('2. Investicijos'!$H$5:$H$18*IF('2. Investicijos'!$G$5:$G$18&lt;=35,30%,40%)),0),'2. Investicijos'!$O$5:$O$18/100)/SUM(IF('2. Investicijos'!$N$5:$N$18&gt;('2. Investicijos'!$H$5:$H$18*IF('2. Investicijos'!$G$5:$G$18&lt;=35,30%,40%)),'2. Investicijos'!$N$5:$N$18-('2. Investicijos'!$H$5:$H$18*IF('2. Investicijos'!$G$5:$G$18&lt;=35,30%,40%)),0)),0)</f>
        <v>#VALUE!</v>
      </c>
      <c r="K171" s="62">
        <f>SUM(AA$5:AA$18)</f>
        <v>0</v>
      </c>
      <c r="L171" s="62">
        <f>SUM(Q$5:Q$18)</f>
        <v>0</v>
      </c>
      <c r="M171" s="62">
        <f>SUM(AK$5:AK$18)</f>
        <v>0</v>
      </c>
      <c r="N171" s="62">
        <f>'3. Finansinės prielaidos'!D30+M171</f>
        <v>0</v>
      </c>
      <c r="O171" s="62">
        <f>'3. Finansinės prielaidos'!D31</f>
        <v>0</v>
      </c>
      <c r="P171" s="62">
        <f>'3. Finansinės prielaidos'!D32</f>
        <v>0</v>
      </c>
      <c r="Q171" s="62" t="e">
        <f t="shared" si="69"/>
        <v>#VALUE!</v>
      </c>
      <c r="R171" s="62" t="e">
        <f>R170+('3. Finansinės prielaidos'!D31-'3. Finansinės prielaidos'!C31)+Q171</f>
        <v>#VALUE!</v>
      </c>
      <c r="S171" s="62" t="e" cm="1">
        <f t="array" ref="S171">SUMPRODUCT(--(2027&gt;'2. Investicijos'!$F$5:$F$18),--(2027&lt;='2. Investicijos'!$F$5:$F$18+'2. Investicijos'!$G$5:$G$18),IFERROR(('2. Investicijos'!$M$5:$M$18+IF('2. Investicijos'!$N$5:$N$18&gt;('2. Investicijos'!$H$5:$H$18*IF('2. Investicijos'!$G$5:$G$18&lt;=35,30%,40%)),'2. Investicijos'!$N$5:$N$18-('2. Investicijos'!$H$5:$H$18*IF('2. Investicijos'!$G$5:$G$18&lt;=35,30%,40%)),0)+('2. Investicijos'!$H$5:$H$18*IF('2. Investicijos'!$G$5:$G$18&lt;=35,30%,40%)))/'2. Investicijos'!$G$5:$G$18,0))+SUMPRODUCT(--(2027&gt;'2. Investicijos'!$F$5:$F$18),--(2027&lt;='2. Investicijos'!$F$5:$F$18+'2. Investicijos'!$G$5:$G$18),IFERROR(('2. Investicijos'!$M$5:$M$18+IF('2. Investicijos'!$N$5:$N$18&gt;('2. Investicijos'!$H$5:$H$18*IF('2. Investicijos'!$G$5:$G$18&lt;=35,30%,40%)),'2. Investicijos'!$N$5:$N$18-('2. Investicijos'!$H$5:$H$18*IF('2. Investicijos'!$G$5:$G$18&lt;=35,30%,40%)),0))*(1-((2027-'2. Investicijos'!$F$5:$F$18)-1)/'2. Investicijos'!$G$5:$G$18),0)*'5. 0% scenarijus'!$C$5)</f>
        <v>#VALUE!</v>
      </c>
      <c r="T171" s="62" t="e">
        <f>'3. Finansinės prielaidos'!D29+S171+G171</f>
        <v>#VALUE!</v>
      </c>
      <c r="U171" s="62" t="e">
        <f t="shared" si="70"/>
        <v>#VALUE!</v>
      </c>
      <c r="V171" s="72" t="e">
        <f t="shared" si="71"/>
        <v>#VALUE!</v>
      </c>
      <c r="W171" s="72" t="e">
        <f t="shared" si="72"/>
        <v>#VALUE!</v>
      </c>
      <c r="X171" s="57" t="e">
        <f t="shared" si="73"/>
        <v>#VALUE!</v>
      </c>
      <c r="Y171" s="57" t="e">
        <f t="shared" si="74"/>
        <v>#VALUE!</v>
      </c>
      <c r="Z171" s="57"/>
      <c r="AA171" s="57"/>
      <c r="AB171" s="57"/>
      <c r="AC171" s="57"/>
      <c r="AD171" s="57"/>
      <c r="AE171" s="57"/>
      <c r="AF171" s="57"/>
      <c r="AG171" s="57"/>
      <c r="AH171" s="57"/>
      <c r="AI171" s="57"/>
      <c r="AJ171" s="57"/>
      <c r="AK171" s="57"/>
      <c r="AL171" s="57"/>
      <c r="AM171" s="57"/>
      <c r="AN171" s="57"/>
      <c r="AO171" s="57"/>
      <c r="AP171" s="57"/>
      <c r="AQ171" s="57"/>
      <c r="AR171" s="57"/>
      <c r="AS171" s="57"/>
    </row>
    <row r="172" spans="1:45">
      <c r="A172" s="57">
        <v>14</v>
      </c>
      <c r="B172" s="57">
        <v>2028</v>
      </c>
      <c r="C172" s="62">
        <f>SUM('4. Metinis CAPEX'!H$9:H$22)</f>
        <v>0</v>
      </c>
      <c r="D172" s="62" cm="1">
        <f t="array" ref="D172">SUMPRODUCT('4. Metinis CAPEX'!H$9:H$22,IFERROR('2. Investicijos'!$N$5:$N$18/'2. Investicijos'!$H$5:$H$18,0))</f>
        <v>0</v>
      </c>
      <c r="E172" s="62" cm="1">
        <f t="array" ref="E172">SUMPRODUCT('4. Metinis CAPEX'!H$9:H$22,IFERROR(('2. Investicijos'!$I$5:$I$18+'2. Investicijos'!$J$5:$J$18+'2. Investicijos'!$K$5:$K$18+'2. Investicijos'!$L$5:$L$18)/'2. Investicijos'!$H$5:$H$18,0))</f>
        <v>0</v>
      </c>
      <c r="F172" s="62" cm="1">
        <f t="array" ref="F172">SUM('2. Investicijos'!$H$5:$H$18*IF('2. Investicijos'!$G$5:$G$18&lt;=35,30%,40%))</f>
        <v>0</v>
      </c>
      <c r="G172" s="62" cm="1">
        <f t="array" ref="G172">IF(AND(2028&gt;=2026,2028&lt;2026+'6. Aprašo scenarijus'!$C$4),SUM('2. Investicijos'!$H$5:$H$18*IF('2. Investicijos'!$G$5:$G$18&lt;=35,30%,40%))/'6. Aprašo scenarijus'!$C$4,0)</f>
        <v>0</v>
      </c>
      <c r="H172" s="62">
        <f t="shared" si="68"/>
        <v>0</v>
      </c>
      <c r="I172" s="62">
        <f>SUM(H$5:H$18)</f>
        <v>0</v>
      </c>
      <c r="J172" s="62" t="e" cm="1">
        <f t="array" ref="J172">K172+L172+MAX(0,-R171)*IFERROR(SUMPRODUCT(IF('2. Investicijos'!$N$5:$N$18&gt;('2. Investicijos'!$H$5:$H$18*IF('2. Investicijos'!$G$5:$G$18&lt;=35,30%,40%)),'2. Investicijos'!$N$5:$N$18-('2. Investicijos'!$H$5:$H$18*IF('2. Investicijos'!$G$5:$G$18&lt;=35,30%,40%)),0),'2. Investicijos'!$O$5:$O$18/100)/SUM(IF('2. Investicijos'!$N$5:$N$18&gt;('2. Investicijos'!$H$5:$H$18*IF('2. Investicijos'!$G$5:$G$18&lt;=35,30%,40%)),'2. Investicijos'!$N$5:$N$18-('2. Investicijos'!$H$5:$H$18*IF('2. Investicijos'!$G$5:$G$18&lt;=35,30%,40%)),0)),0)</f>
        <v>#VALUE!</v>
      </c>
      <c r="K172" s="62">
        <f>SUM(AB$5:AB$18)</f>
        <v>0</v>
      </c>
      <c r="L172" s="62">
        <f>SUM(R$5:R$18)</f>
        <v>0</v>
      </c>
      <c r="M172" s="62">
        <f>SUM(AL$5:AL$18)</f>
        <v>0</v>
      </c>
      <c r="N172" s="62">
        <f>'3. Finansinės prielaidos'!E30+M172</f>
        <v>0</v>
      </c>
      <c r="O172" s="62">
        <f>'3. Finansinės prielaidos'!E31</f>
        <v>0</v>
      </c>
      <c r="P172" s="62">
        <f>'3. Finansinės prielaidos'!E32</f>
        <v>0</v>
      </c>
      <c r="Q172" s="62" t="e">
        <f t="shared" si="69"/>
        <v>#VALUE!</v>
      </c>
      <c r="R172" s="62" t="e">
        <f>R171+('3. Finansinės prielaidos'!E31-'3. Finansinės prielaidos'!D31)+Q172</f>
        <v>#VALUE!</v>
      </c>
      <c r="S172" s="62" t="e" cm="1">
        <f t="array" ref="S172">SUMPRODUCT(--(2028&gt;'2. Investicijos'!$F$5:$F$18),--(2028&lt;='2. Investicijos'!$F$5:$F$18+'2. Investicijos'!$G$5:$G$18),IFERROR(('2. Investicijos'!$M$5:$M$18+IF('2. Investicijos'!$N$5:$N$18&gt;('2. Investicijos'!$H$5:$H$18*IF('2. Investicijos'!$G$5:$G$18&lt;=35,30%,40%)),'2. Investicijos'!$N$5:$N$18-('2. Investicijos'!$H$5:$H$18*IF('2. Investicijos'!$G$5:$G$18&lt;=35,30%,40%)),0)+('2. Investicijos'!$H$5:$H$18*IF('2. Investicijos'!$G$5:$G$18&lt;=35,30%,40%)))/'2. Investicijos'!$G$5:$G$18,0))+SUMPRODUCT(--(2028&gt;'2. Investicijos'!$F$5:$F$18),--(2028&lt;='2. Investicijos'!$F$5:$F$18+'2. Investicijos'!$G$5:$G$18),IFERROR(('2. Investicijos'!$M$5:$M$18+IF('2. Investicijos'!$N$5:$N$18&gt;('2. Investicijos'!$H$5:$H$18*IF('2. Investicijos'!$G$5:$G$18&lt;=35,30%,40%)),'2. Investicijos'!$N$5:$N$18-('2. Investicijos'!$H$5:$H$18*IF('2. Investicijos'!$G$5:$G$18&lt;=35,30%,40%)),0))*(1-((2028-'2. Investicijos'!$F$5:$F$18)-1)/'2. Investicijos'!$G$5:$G$18),0)*'5. 0% scenarijus'!$C$5)</f>
        <v>#VALUE!</v>
      </c>
      <c r="T172" s="62" t="e">
        <f>'3. Finansinės prielaidos'!E29+S172+G172</f>
        <v>#VALUE!</v>
      </c>
      <c r="U172" s="62" t="e">
        <f t="shared" si="70"/>
        <v>#VALUE!</v>
      </c>
      <c r="V172" s="72" t="e">
        <f t="shared" si="71"/>
        <v>#VALUE!</v>
      </c>
      <c r="W172" s="72" t="e">
        <f t="shared" si="72"/>
        <v>#VALUE!</v>
      </c>
      <c r="X172" s="57" t="e">
        <f t="shared" si="73"/>
        <v>#VALUE!</v>
      </c>
      <c r="Y172" s="57" t="e">
        <f t="shared" si="74"/>
        <v>#VALUE!</v>
      </c>
      <c r="Z172" s="57"/>
      <c r="AA172" s="57"/>
      <c r="AB172" s="57"/>
      <c r="AC172" s="57"/>
      <c r="AD172" s="57"/>
      <c r="AE172" s="57"/>
      <c r="AF172" s="57"/>
      <c r="AG172" s="57"/>
      <c r="AH172" s="57"/>
      <c r="AI172" s="57"/>
      <c r="AJ172" s="57"/>
      <c r="AK172" s="57"/>
      <c r="AL172" s="57"/>
      <c r="AM172" s="57"/>
      <c r="AN172" s="57"/>
      <c r="AO172" s="57"/>
      <c r="AP172" s="57"/>
      <c r="AQ172" s="57"/>
      <c r="AR172" s="57"/>
      <c r="AS172" s="57"/>
    </row>
    <row r="173" spans="1:45">
      <c r="A173" s="57">
        <v>14</v>
      </c>
      <c r="B173" s="57">
        <v>2029</v>
      </c>
      <c r="C173" s="62">
        <f>SUM('4. Metinis CAPEX'!I$9:I$22)</f>
        <v>0</v>
      </c>
      <c r="D173" s="62" cm="1">
        <f t="array" ref="D173">SUMPRODUCT('4. Metinis CAPEX'!I$9:I$22,IFERROR('2. Investicijos'!$N$5:$N$18/'2. Investicijos'!$H$5:$H$18,0))</f>
        <v>0</v>
      </c>
      <c r="E173" s="62" cm="1">
        <f t="array" ref="E173">SUMPRODUCT('4. Metinis CAPEX'!I$9:I$22,IFERROR(('2. Investicijos'!$I$5:$I$18+'2. Investicijos'!$J$5:$J$18+'2. Investicijos'!$K$5:$K$18+'2. Investicijos'!$L$5:$L$18)/'2. Investicijos'!$H$5:$H$18,0))</f>
        <v>0</v>
      </c>
      <c r="F173" s="62" cm="1">
        <f t="array" ref="F173">SUM('2. Investicijos'!$H$5:$H$18*IF('2. Investicijos'!$G$5:$G$18&lt;=35,30%,40%))</f>
        <v>0</v>
      </c>
      <c r="G173" s="62" cm="1">
        <f t="array" ref="G173">IF(AND(2029&gt;=2026,2029&lt;2026+'6. Aprašo scenarijus'!$C$4),SUM('2. Investicijos'!$H$5:$H$18*IF('2. Investicijos'!$G$5:$G$18&lt;=35,30%,40%))/'6. Aprašo scenarijus'!$C$4,0)</f>
        <v>0</v>
      </c>
      <c r="H173" s="62">
        <f t="shared" si="68"/>
        <v>0</v>
      </c>
      <c r="I173" s="62">
        <f>SUM(I$5:I$18)</f>
        <v>0</v>
      </c>
      <c r="J173" s="62" t="e" cm="1">
        <f t="array" ref="J173">K173+L173+MAX(0,-R172)*IFERROR(SUMPRODUCT(IF('2. Investicijos'!$N$5:$N$18&gt;('2. Investicijos'!$H$5:$H$18*IF('2. Investicijos'!$G$5:$G$18&lt;=35,30%,40%)),'2. Investicijos'!$N$5:$N$18-('2. Investicijos'!$H$5:$H$18*IF('2. Investicijos'!$G$5:$G$18&lt;=35,30%,40%)),0),'2. Investicijos'!$O$5:$O$18/100)/SUM(IF('2. Investicijos'!$N$5:$N$18&gt;('2. Investicijos'!$H$5:$H$18*IF('2. Investicijos'!$G$5:$G$18&lt;=35,30%,40%)),'2. Investicijos'!$N$5:$N$18-('2. Investicijos'!$H$5:$H$18*IF('2. Investicijos'!$G$5:$G$18&lt;=35,30%,40%)),0)),0)</f>
        <v>#VALUE!</v>
      </c>
      <c r="K173" s="62">
        <f>SUM(AC$5:AC$18)</f>
        <v>0</v>
      </c>
      <c r="L173" s="62">
        <f>SUM(S$5:S$18)</f>
        <v>0</v>
      </c>
      <c r="M173" s="62">
        <f>SUM(AM$5:AM$18)</f>
        <v>0</v>
      </c>
      <c r="N173" s="62">
        <f>'3. Finansinės prielaidos'!F30+M173</f>
        <v>0</v>
      </c>
      <c r="O173" s="62">
        <f>'3. Finansinės prielaidos'!F31</f>
        <v>0</v>
      </c>
      <c r="P173" s="62">
        <f>'3. Finansinės prielaidos'!F32</f>
        <v>0</v>
      </c>
      <c r="Q173" s="62" t="e">
        <f t="shared" si="69"/>
        <v>#VALUE!</v>
      </c>
      <c r="R173" s="62" t="e">
        <f>R172+('3. Finansinės prielaidos'!F31-'3. Finansinės prielaidos'!E31)+Q173</f>
        <v>#VALUE!</v>
      </c>
      <c r="S173" s="62" t="e" cm="1">
        <f t="array" ref="S173">SUMPRODUCT(--(2029&gt;'2. Investicijos'!$F$5:$F$18),--(2029&lt;='2. Investicijos'!$F$5:$F$18+'2. Investicijos'!$G$5:$G$18),IFERROR(('2. Investicijos'!$M$5:$M$18+IF('2. Investicijos'!$N$5:$N$18&gt;('2. Investicijos'!$H$5:$H$18*IF('2. Investicijos'!$G$5:$G$18&lt;=35,30%,40%)),'2. Investicijos'!$N$5:$N$18-('2. Investicijos'!$H$5:$H$18*IF('2. Investicijos'!$G$5:$G$18&lt;=35,30%,40%)),0)+('2. Investicijos'!$H$5:$H$18*IF('2. Investicijos'!$G$5:$G$18&lt;=35,30%,40%)))/'2. Investicijos'!$G$5:$G$18,0))+SUMPRODUCT(--(2029&gt;'2. Investicijos'!$F$5:$F$18),--(2029&lt;='2. Investicijos'!$F$5:$F$18+'2. Investicijos'!$G$5:$G$18),IFERROR(('2. Investicijos'!$M$5:$M$18+IF('2. Investicijos'!$N$5:$N$18&gt;('2. Investicijos'!$H$5:$H$18*IF('2. Investicijos'!$G$5:$G$18&lt;=35,30%,40%)),'2. Investicijos'!$N$5:$N$18-('2. Investicijos'!$H$5:$H$18*IF('2. Investicijos'!$G$5:$G$18&lt;=35,30%,40%)),0))*(1-((2029-'2. Investicijos'!$F$5:$F$18)-1)/'2. Investicijos'!$G$5:$G$18),0)*'5. 0% scenarijus'!$C$5)</f>
        <v>#VALUE!</v>
      </c>
      <c r="T173" s="62" t="e">
        <f>'3. Finansinės prielaidos'!F29+S173+G173</f>
        <v>#VALUE!</v>
      </c>
      <c r="U173" s="62" t="e">
        <f t="shared" si="70"/>
        <v>#VALUE!</v>
      </c>
      <c r="V173" s="72" t="e">
        <f t="shared" si="71"/>
        <v>#VALUE!</v>
      </c>
      <c r="W173" s="72" t="e">
        <f t="shared" si="72"/>
        <v>#VALUE!</v>
      </c>
      <c r="X173" s="57" t="e">
        <f t="shared" si="73"/>
        <v>#VALUE!</v>
      </c>
      <c r="Y173" s="57" t="e">
        <f t="shared" si="74"/>
        <v>#VALUE!</v>
      </c>
      <c r="Z173" s="57"/>
      <c r="AA173" s="57"/>
      <c r="AB173" s="57"/>
      <c r="AC173" s="57"/>
      <c r="AD173" s="57"/>
      <c r="AE173" s="57"/>
      <c r="AF173" s="57"/>
      <c r="AG173" s="57"/>
      <c r="AH173" s="57"/>
      <c r="AI173" s="57"/>
      <c r="AJ173" s="57"/>
      <c r="AK173" s="57"/>
      <c r="AL173" s="57"/>
      <c r="AM173" s="57"/>
      <c r="AN173" s="57"/>
      <c r="AO173" s="57"/>
      <c r="AP173" s="57"/>
      <c r="AQ173" s="57"/>
      <c r="AR173" s="57"/>
      <c r="AS173" s="57"/>
    </row>
    <row r="174" spans="1:45">
      <c r="A174" s="57">
        <v>14</v>
      </c>
      <c r="B174" s="57">
        <v>2030</v>
      </c>
      <c r="C174" s="62">
        <f>SUM('4. Metinis CAPEX'!J$9:J$22)</f>
        <v>0</v>
      </c>
      <c r="D174" s="62" cm="1">
        <f t="array" ref="D174">SUMPRODUCT('4. Metinis CAPEX'!J$9:J$22,IFERROR('2. Investicijos'!$N$5:$N$18/'2. Investicijos'!$H$5:$H$18,0))</f>
        <v>0</v>
      </c>
      <c r="E174" s="62" cm="1">
        <f t="array" ref="E174">SUMPRODUCT('4. Metinis CAPEX'!J$9:J$22,IFERROR(('2. Investicijos'!$I$5:$I$18+'2. Investicijos'!$J$5:$J$18+'2. Investicijos'!$K$5:$K$18+'2. Investicijos'!$L$5:$L$18)/'2. Investicijos'!$H$5:$H$18,0))</f>
        <v>0</v>
      </c>
      <c r="F174" s="62" cm="1">
        <f t="array" ref="F174">SUM('2. Investicijos'!$H$5:$H$18*IF('2. Investicijos'!$G$5:$G$18&lt;=35,30%,40%))</f>
        <v>0</v>
      </c>
      <c r="G174" s="62" cm="1">
        <f t="array" ref="G174">IF(AND(2030&gt;=2026,2030&lt;2026+'6. Aprašo scenarijus'!$C$4),SUM('2. Investicijos'!$H$5:$H$18*IF('2. Investicijos'!$G$5:$G$18&lt;=35,30%,40%))/'6. Aprašo scenarijus'!$C$4,0)</f>
        <v>0</v>
      </c>
      <c r="H174" s="62">
        <f t="shared" si="68"/>
        <v>0</v>
      </c>
      <c r="I174" s="62">
        <f>SUM(J$5:J$18)</f>
        <v>0</v>
      </c>
      <c r="J174" s="62" t="e" cm="1">
        <f t="array" ref="J174">K174+L174+MAX(0,-R173)*IFERROR(SUMPRODUCT(IF('2. Investicijos'!$N$5:$N$18&gt;('2. Investicijos'!$H$5:$H$18*IF('2. Investicijos'!$G$5:$G$18&lt;=35,30%,40%)),'2. Investicijos'!$N$5:$N$18-('2. Investicijos'!$H$5:$H$18*IF('2. Investicijos'!$G$5:$G$18&lt;=35,30%,40%)),0),'2. Investicijos'!$O$5:$O$18/100)/SUM(IF('2. Investicijos'!$N$5:$N$18&gt;('2. Investicijos'!$H$5:$H$18*IF('2. Investicijos'!$G$5:$G$18&lt;=35,30%,40%)),'2. Investicijos'!$N$5:$N$18-('2. Investicijos'!$H$5:$H$18*IF('2. Investicijos'!$G$5:$G$18&lt;=35,30%,40%)),0)),0)</f>
        <v>#VALUE!</v>
      </c>
      <c r="K174" s="62">
        <f>SUM(AD$5:AD$18)</f>
        <v>0</v>
      </c>
      <c r="L174" s="62">
        <f>SUM(T$5:T$18)</f>
        <v>0</v>
      </c>
      <c r="M174" s="62">
        <f>SUM(AN$5:AN$18)</f>
        <v>0</v>
      </c>
      <c r="N174" s="62">
        <f>'3. Finansinės prielaidos'!G30+M174</f>
        <v>0</v>
      </c>
      <c r="O174" s="62">
        <f>'3. Finansinės prielaidos'!G31</f>
        <v>0</v>
      </c>
      <c r="P174" s="62">
        <f>'3. Finansinės prielaidos'!G32</f>
        <v>0</v>
      </c>
      <c r="Q174" s="62" t="e">
        <f t="shared" si="69"/>
        <v>#VALUE!</v>
      </c>
      <c r="R174" s="62" t="e">
        <f>R173+('3. Finansinės prielaidos'!G31-'3. Finansinės prielaidos'!F31)+Q174</f>
        <v>#VALUE!</v>
      </c>
      <c r="S174" s="62" t="e" cm="1">
        <f t="array" ref="S174">SUMPRODUCT(--(2030&gt;'2. Investicijos'!$F$5:$F$18),--(2030&lt;='2. Investicijos'!$F$5:$F$18+'2. Investicijos'!$G$5:$G$18),IFERROR(('2. Investicijos'!$M$5:$M$18+IF('2. Investicijos'!$N$5:$N$18&gt;('2. Investicijos'!$H$5:$H$18*IF('2. Investicijos'!$G$5:$G$18&lt;=35,30%,40%)),'2. Investicijos'!$N$5:$N$18-('2. Investicijos'!$H$5:$H$18*IF('2. Investicijos'!$G$5:$G$18&lt;=35,30%,40%)),0)+('2. Investicijos'!$H$5:$H$18*IF('2. Investicijos'!$G$5:$G$18&lt;=35,30%,40%)))/'2. Investicijos'!$G$5:$G$18,0))+SUMPRODUCT(--(2030&gt;'2. Investicijos'!$F$5:$F$18),--(2030&lt;='2. Investicijos'!$F$5:$F$18+'2. Investicijos'!$G$5:$G$18),IFERROR(('2. Investicijos'!$M$5:$M$18+IF('2. Investicijos'!$N$5:$N$18&gt;('2. Investicijos'!$H$5:$H$18*IF('2. Investicijos'!$G$5:$G$18&lt;=35,30%,40%)),'2. Investicijos'!$N$5:$N$18-('2. Investicijos'!$H$5:$H$18*IF('2. Investicijos'!$G$5:$G$18&lt;=35,30%,40%)),0))*(1-((2030-'2. Investicijos'!$F$5:$F$18)-1)/'2. Investicijos'!$G$5:$G$18),0)*'5. 0% scenarijus'!$C$5)</f>
        <v>#VALUE!</v>
      </c>
      <c r="T174" s="62" t="e">
        <f>'3. Finansinės prielaidos'!G29+S174+G174</f>
        <v>#VALUE!</v>
      </c>
      <c r="U174" s="62" t="e">
        <f t="shared" si="70"/>
        <v>#VALUE!</v>
      </c>
      <c r="V174" s="72" t="e">
        <f t="shared" si="71"/>
        <v>#VALUE!</v>
      </c>
      <c r="W174" s="72" t="e">
        <f t="shared" si="72"/>
        <v>#VALUE!</v>
      </c>
      <c r="X174" s="57" t="e">
        <f t="shared" si="73"/>
        <v>#VALUE!</v>
      </c>
      <c r="Y174" s="57" t="e">
        <f t="shared" si="74"/>
        <v>#VALUE!</v>
      </c>
      <c r="Z174" s="57"/>
      <c r="AA174" s="57"/>
      <c r="AB174" s="57"/>
      <c r="AC174" s="57"/>
      <c r="AD174" s="57"/>
      <c r="AE174" s="57"/>
      <c r="AF174" s="57"/>
      <c r="AG174" s="57"/>
      <c r="AH174" s="57"/>
      <c r="AI174" s="57"/>
      <c r="AJ174" s="57"/>
      <c r="AK174" s="57"/>
      <c r="AL174" s="57"/>
      <c r="AM174" s="57"/>
      <c r="AN174" s="57"/>
      <c r="AO174" s="57"/>
      <c r="AP174" s="57"/>
      <c r="AQ174" s="57"/>
      <c r="AR174" s="57"/>
      <c r="AS174" s="57"/>
    </row>
    <row r="175" spans="1:45">
      <c r="A175" s="57">
        <v>14</v>
      </c>
      <c r="B175" s="57">
        <v>2031</v>
      </c>
      <c r="C175" s="62">
        <f>SUM('4. Metinis CAPEX'!K$9:K$22)</f>
        <v>0</v>
      </c>
      <c r="D175" s="62" cm="1">
        <f t="array" ref="D175">SUMPRODUCT('4. Metinis CAPEX'!K$9:K$22,IFERROR('2. Investicijos'!$N$5:$N$18/'2. Investicijos'!$H$5:$H$18,0))</f>
        <v>0</v>
      </c>
      <c r="E175" s="62" cm="1">
        <f t="array" ref="E175">SUMPRODUCT('4. Metinis CAPEX'!K$9:K$22,IFERROR(('2. Investicijos'!$I$5:$I$18+'2. Investicijos'!$J$5:$J$18+'2. Investicijos'!$K$5:$K$18+'2. Investicijos'!$L$5:$L$18)/'2. Investicijos'!$H$5:$H$18,0))</f>
        <v>0</v>
      </c>
      <c r="F175" s="62" cm="1">
        <f t="array" ref="F175">SUM('2. Investicijos'!$H$5:$H$18*IF('2. Investicijos'!$G$5:$G$18&lt;=35,30%,40%))</f>
        <v>0</v>
      </c>
      <c r="G175" s="62" cm="1">
        <f t="array" ref="G175">IF(AND(2031&gt;=2026,2031&lt;2026+'6. Aprašo scenarijus'!$C$4),SUM('2. Investicijos'!$H$5:$H$18*IF('2. Investicijos'!$G$5:$G$18&lt;=35,30%,40%))/'6. Aprašo scenarijus'!$C$4,0)</f>
        <v>0</v>
      </c>
      <c r="H175" s="62">
        <f t="shared" si="68"/>
        <v>0</v>
      </c>
      <c r="I175" s="62">
        <f>SUM(K$5:K$18)</f>
        <v>0</v>
      </c>
      <c r="J175" s="62" t="e" cm="1">
        <f t="array" ref="J175">K175+L175+MAX(0,-R174)*IFERROR(SUMPRODUCT(IF('2. Investicijos'!$N$5:$N$18&gt;('2. Investicijos'!$H$5:$H$18*IF('2. Investicijos'!$G$5:$G$18&lt;=35,30%,40%)),'2. Investicijos'!$N$5:$N$18-('2. Investicijos'!$H$5:$H$18*IF('2. Investicijos'!$G$5:$G$18&lt;=35,30%,40%)),0),'2. Investicijos'!$O$5:$O$18/100)/SUM(IF('2. Investicijos'!$N$5:$N$18&gt;('2. Investicijos'!$H$5:$H$18*IF('2. Investicijos'!$G$5:$G$18&lt;=35,30%,40%)),'2. Investicijos'!$N$5:$N$18-('2. Investicijos'!$H$5:$H$18*IF('2. Investicijos'!$G$5:$G$18&lt;=35,30%,40%)),0)),0)</f>
        <v>#VALUE!</v>
      </c>
      <c r="K175" s="62">
        <f>SUM(AE$5:AE$18)</f>
        <v>0</v>
      </c>
      <c r="L175" s="62">
        <f>SUM(U$5:U$18)</f>
        <v>0</v>
      </c>
      <c r="M175" s="62">
        <f>SUM(AO$5:AO$18)</f>
        <v>0</v>
      </c>
      <c r="N175" s="62">
        <f>'3. Finansinės prielaidos'!H30+M175</f>
        <v>0</v>
      </c>
      <c r="O175" s="62">
        <f>'3. Finansinės prielaidos'!H31</f>
        <v>0</v>
      </c>
      <c r="P175" s="62">
        <f>'3. Finansinės prielaidos'!H32</f>
        <v>0</v>
      </c>
      <c r="Q175" s="62" t="e">
        <f t="shared" si="69"/>
        <v>#VALUE!</v>
      </c>
      <c r="R175" s="62" t="e">
        <f>R174+('3. Finansinės prielaidos'!H31-'3. Finansinės prielaidos'!G31)+Q175</f>
        <v>#VALUE!</v>
      </c>
      <c r="S175" s="62" t="e" cm="1">
        <f t="array" ref="S175">SUMPRODUCT(--(2031&gt;'2. Investicijos'!$F$5:$F$18),--(2031&lt;='2. Investicijos'!$F$5:$F$18+'2. Investicijos'!$G$5:$G$18),IFERROR(('2. Investicijos'!$M$5:$M$18+IF('2. Investicijos'!$N$5:$N$18&gt;('2. Investicijos'!$H$5:$H$18*IF('2. Investicijos'!$G$5:$G$18&lt;=35,30%,40%)),'2. Investicijos'!$N$5:$N$18-('2. Investicijos'!$H$5:$H$18*IF('2. Investicijos'!$G$5:$G$18&lt;=35,30%,40%)),0)+('2. Investicijos'!$H$5:$H$18*IF('2. Investicijos'!$G$5:$G$18&lt;=35,30%,40%)))/'2. Investicijos'!$G$5:$G$18,0))+SUMPRODUCT(--(2031&gt;'2. Investicijos'!$F$5:$F$18),--(2031&lt;='2. Investicijos'!$F$5:$F$18+'2. Investicijos'!$G$5:$G$18),IFERROR(('2. Investicijos'!$M$5:$M$18+IF('2. Investicijos'!$N$5:$N$18&gt;('2. Investicijos'!$H$5:$H$18*IF('2. Investicijos'!$G$5:$G$18&lt;=35,30%,40%)),'2. Investicijos'!$N$5:$N$18-('2. Investicijos'!$H$5:$H$18*IF('2. Investicijos'!$G$5:$G$18&lt;=35,30%,40%)),0))*(1-((2031-'2. Investicijos'!$F$5:$F$18)-1)/'2. Investicijos'!$G$5:$G$18),0)*'5. 0% scenarijus'!$C$5)</f>
        <v>#VALUE!</v>
      </c>
      <c r="T175" s="62" t="e">
        <f>'3. Finansinės prielaidos'!H29+S175+G175</f>
        <v>#VALUE!</v>
      </c>
      <c r="U175" s="62" t="e">
        <f t="shared" si="70"/>
        <v>#VALUE!</v>
      </c>
      <c r="V175" s="72" t="e">
        <f t="shared" si="71"/>
        <v>#VALUE!</v>
      </c>
      <c r="W175" s="72" t="e">
        <f t="shared" si="72"/>
        <v>#VALUE!</v>
      </c>
      <c r="X175" s="57" t="e">
        <f t="shared" si="73"/>
        <v>#VALUE!</v>
      </c>
      <c r="Y175" s="57" t="e">
        <f t="shared" si="74"/>
        <v>#VALUE!</v>
      </c>
      <c r="Z175" s="57"/>
      <c r="AA175" s="57"/>
      <c r="AB175" s="57"/>
      <c r="AC175" s="57"/>
      <c r="AD175" s="57"/>
      <c r="AE175" s="57"/>
      <c r="AF175" s="57"/>
      <c r="AG175" s="57"/>
      <c r="AH175" s="57"/>
      <c r="AI175" s="57"/>
      <c r="AJ175" s="57"/>
      <c r="AK175" s="57"/>
      <c r="AL175" s="57"/>
      <c r="AM175" s="57"/>
      <c r="AN175" s="57"/>
      <c r="AO175" s="57"/>
      <c r="AP175" s="57"/>
      <c r="AQ175" s="57"/>
      <c r="AR175" s="57"/>
      <c r="AS175" s="57"/>
    </row>
    <row r="176" spans="1:45">
      <c r="A176" s="57">
        <v>14</v>
      </c>
      <c r="B176" s="57">
        <v>2032</v>
      </c>
      <c r="C176" s="62">
        <f>SUM('4. Metinis CAPEX'!L$9:L$22)</f>
        <v>0</v>
      </c>
      <c r="D176" s="62" cm="1">
        <f t="array" ref="D176">SUMPRODUCT('4. Metinis CAPEX'!L$9:L$22,IFERROR('2. Investicijos'!$N$5:$N$18/'2. Investicijos'!$H$5:$H$18,0))</f>
        <v>0</v>
      </c>
      <c r="E176" s="62" cm="1">
        <f t="array" ref="E176">SUMPRODUCT('4. Metinis CAPEX'!L$9:L$22,IFERROR(('2. Investicijos'!$I$5:$I$18+'2. Investicijos'!$J$5:$J$18+'2. Investicijos'!$K$5:$K$18+'2. Investicijos'!$L$5:$L$18)/'2. Investicijos'!$H$5:$H$18,0))</f>
        <v>0</v>
      </c>
      <c r="F176" s="62" cm="1">
        <f t="array" ref="F176">SUM('2. Investicijos'!$H$5:$H$18*IF('2. Investicijos'!$G$5:$G$18&lt;=35,30%,40%))</f>
        <v>0</v>
      </c>
      <c r="G176" s="62" cm="1">
        <f t="array" ref="G176">IF(AND(2032&gt;=2026,2032&lt;2026+'6. Aprašo scenarijus'!$C$4),SUM('2. Investicijos'!$H$5:$H$18*IF('2. Investicijos'!$G$5:$G$18&lt;=35,30%,40%))/'6. Aprašo scenarijus'!$C$4,0)</f>
        <v>0</v>
      </c>
      <c r="H176" s="62">
        <f t="shared" si="68"/>
        <v>0</v>
      </c>
      <c r="I176" s="62">
        <f>SUM(L$5:L$18)</f>
        <v>0</v>
      </c>
      <c r="J176" s="62" t="e" cm="1">
        <f t="array" ref="J176">K176+L176+MAX(0,-R175)*IFERROR(SUMPRODUCT(IF('2. Investicijos'!$N$5:$N$18&gt;('2. Investicijos'!$H$5:$H$18*IF('2. Investicijos'!$G$5:$G$18&lt;=35,30%,40%)),'2. Investicijos'!$N$5:$N$18-('2. Investicijos'!$H$5:$H$18*IF('2. Investicijos'!$G$5:$G$18&lt;=35,30%,40%)),0),'2. Investicijos'!$O$5:$O$18/100)/SUM(IF('2. Investicijos'!$N$5:$N$18&gt;('2. Investicijos'!$H$5:$H$18*IF('2. Investicijos'!$G$5:$G$18&lt;=35,30%,40%)),'2. Investicijos'!$N$5:$N$18-('2. Investicijos'!$H$5:$H$18*IF('2. Investicijos'!$G$5:$G$18&lt;=35,30%,40%)),0)),0)</f>
        <v>#VALUE!</v>
      </c>
      <c r="K176" s="62">
        <f>SUM(AF$5:AF$18)</f>
        <v>0</v>
      </c>
      <c r="L176" s="62">
        <f>SUM(V$5:V$18)</f>
        <v>0</v>
      </c>
      <c r="M176" s="62">
        <f>SUM(AP$5:AP$18)</f>
        <v>0</v>
      </c>
      <c r="N176" s="62">
        <f>'3. Finansinės prielaidos'!I30+M176</f>
        <v>0</v>
      </c>
      <c r="O176" s="62">
        <f>'3. Finansinės prielaidos'!I31</f>
        <v>0</v>
      </c>
      <c r="P176" s="62">
        <f>'3. Finansinės prielaidos'!I32</f>
        <v>0</v>
      </c>
      <c r="Q176" s="62" t="e">
        <f t="shared" si="69"/>
        <v>#VALUE!</v>
      </c>
      <c r="R176" s="62" t="e">
        <f>R175+('3. Finansinės prielaidos'!I31-'3. Finansinės prielaidos'!H31)+Q176</f>
        <v>#VALUE!</v>
      </c>
      <c r="S176" s="62" t="e" cm="1">
        <f t="array" ref="S176">SUMPRODUCT(--(2032&gt;'2. Investicijos'!$F$5:$F$18),--(2032&lt;='2. Investicijos'!$F$5:$F$18+'2. Investicijos'!$G$5:$G$18),IFERROR(('2. Investicijos'!$M$5:$M$18+IF('2. Investicijos'!$N$5:$N$18&gt;('2. Investicijos'!$H$5:$H$18*IF('2. Investicijos'!$G$5:$G$18&lt;=35,30%,40%)),'2. Investicijos'!$N$5:$N$18-('2. Investicijos'!$H$5:$H$18*IF('2. Investicijos'!$G$5:$G$18&lt;=35,30%,40%)),0)+('2. Investicijos'!$H$5:$H$18*IF('2. Investicijos'!$G$5:$G$18&lt;=35,30%,40%)))/'2. Investicijos'!$G$5:$G$18,0))+SUMPRODUCT(--(2032&gt;'2. Investicijos'!$F$5:$F$18),--(2032&lt;='2. Investicijos'!$F$5:$F$18+'2. Investicijos'!$G$5:$G$18),IFERROR(('2. Investicijos'!$M$5:$M$18+IF('2. Investicijos'!$N$5:$N$18&gt;('2. Investicijos'!$H$5:$H$18*IF('2. Investicijos'!$G$5:$G$18&lt;=35,30%,40%)),'2. Investicijos'!$N$5:$N$18-('2. Investicijos'!$H$5:$H$18*IF('2. Investicijos'!$G$5:$G$18&lt;=35,30%,40%)),0))*(1-((2032-'2. Investicijos'!$F$5:$F$18)-1)/'2. Investicijos'!$G$5:$G$18),0)*'5. 0% scenarijus'!$C$5)</f>
        <v>#VALUE!</v>
      </c>
      <c r="T176" s="62" t="e">
        <f>'3. Finansinės prielaidos'!I29+S176+G176</f>
        <v>#VALUE!</v>
      </c>
      <c r="U176" s="62" t="e">
        <f t="shared" si="70"/>
        <v>#VALUE!</v>
      </c>
      <c r="V176" s="72" t="e">
        <f t="shared" si="71"/>
        <v>#VALUE!</v>
      </c>
      <c r="W176" s="72" t="e">
        <f t="shared" si="72"/>
        <v>#VALUE!</v>
      </c>
      <c r="X176" s="57" t="e">
        <f t="shared" si="73"/>
        <v>#VALUE!</v>
      </c>
      <c r="Y176" s="57" t="e">
        <f t="shared" si="74"/>
        <v>#VALUE!</v>
      </c>
      <c r="Z176" s="57"/>
      <c r="AA176" s="57"/>
      <c r="AB176" s="57"/>
      <c r="AC176" s="57"/>
      <c r="AD176" s="57"/>
      <c r="AE176" s="57"/>
      <c r="AF176" s="57"/>
      <c r="AG176" s="57"/>
      <c r="AH176" s="57"/>
      <c r="AI176" s="57"/>
      <c r="AJ176" s="57"/>
      <c r="AK176" s="57"/>
      <c r="AL176" s="57"/>
      <c r="AM176" s="57"/>
      <c r="AN176" s="57"/>
      <c r="AO176" s="57"/>
      <c r="AP176" s="57"/>
      <c r="AQ176" s="57"/>
      <c r="AR176" s="57"/>
      <c r="AS176" s="57"/>
    </row>
    <row r="177" spans="1:45">
      <c r="A177" s="57">
        <v>14</v>
      </c>
      <c r="B177" s="57">
        <v>2033</v>
      </c>
      <c r="C177" s="62">
        <f>SUM('4. Metinis CAPEX'!M$9:M$22)</f>
        <v>0</v>
      </c>
      <c r="D177" s="62" cm="1">
        <f t="array" ref="D177">SUMPRODUCT('4. Metinis CAPEX'!M$9:M$22,IFERROR('2. Investicijos'!$N$5:$N$18/'2. Investicijos'!$H$5:$H$18,0))</f>
        <v>0</v>
      </c>
      <c r="E177" s="62" cm="1">
        <f t="array" ref="E177">SUMPRODUCT('4. Metinis CAPEX'!M$9:M$22,IFERROR(('2. Investicijos'!$I$5:$I$18+'2. Investicijos'!$J$5:$J$18+'2. Investicijos'!$K$5:$K$18+'2. Investicijos'!$L$5:$L$18)/'2. Investicijos'!$H$5:$H$18,0))</f>
        <v>0</v>
      </c>
      <c r="F177" s="62" cm="1">
        <f t="array" ref="F177">SUM('2. Investicijos'!$H$5:$H$18*IF('2. Investicijos'!$G$5:$G$18&lt;=35,30%,40%))</f>
        <v>0</v>
      </c>
      <c r="G177" s="62" cm="1">
        <f t="array" ref="G177">IF(AND(2033&gt;=2026,2033&lt;2026+'6. Aprašo scenarijus'!$C$4),SUM('2. Investicijos'!$H$5:$H$18*IF('2. Investicijos'!$G$5:$G$18&lt;=35,30%,40%))/'6. Aprašo scenarijus'!$C$4,0)</f>
        <v>0</v>
      </c>
      <c r="H177" s="62">
        <f t="shared" si="68"/>
        <v>0</v>
      </c>
      <c r="I177" s="62">
        <f>SUM(M$5:M$18)</f>
        <v>0</v>
      </c>
      <c r="J177" s="62" t="e" cm="1">
        <f t="array" ref="J177">K177+L177+MAX(0,-R176)*IFERROR(SUMPRODUCT(IF('2. Investicijos'!$N$5:$N$18&gt;('2. Investicijos'!$H$5:$H$18*IF('2. Investicijos'!$G$5:$G$18&lt;=35,30%,40%)),'2. Investicijos'!$N$5:$N$18-('2. Investicijos'!$H$5:$H$18*IF('2. Investicijos'!$G$5:$G$18&lt;=35,30%,40%)),0),'2. Investicijos'!$O$5:$O$18/100)/SUM(IF('2. Investicijos'!$N$5:$N$18&gt;('2. Investicijos'!$H$5:$H$18*IF('2. Investicijos'!$G$5:$G$18&lt;=35,30%,40%)),'2. Investicijos'!$N$5:$N$18-('2. Investicijos'!$H$5:$H$18*IF('2. Investicijos'!$G$5:$G$18&lt;=35,30%,40%)),0)),0)</f>
        <v>#VALUE!</v>
      </c>
      <c r="K177" s="62">
        <f>SUM(AG$5:AG$18)</f>
        <v>0</v>
      </c>
      <c r="L177" s="62">
        <f>SUM(W$5:W$18)</f>
        <v>0</v>
      </c>
      <c r="M177" s="62">
        <f>SUM(AQ$5:AQ$18)</f>
        <v>0</v>
      </c>
      <c r="N177" s="62">
        <f>'3. Finansinės prielaidos'!J30+M177</f>
        <v>0</v>
      </c>
      <c r="O177" s="62">
        <f>'3. Finansinės prielaidos'!J31</f>
        <v>0</v>
      </c>
      <c r="P177" s="62">
        <f>'3. Finansinės prielaidos'!J32</f>
        <v>0</v>
      </c>
      <c r="Q177" s="62" t="e">
        <f t="shared" si="69"/>
        <v>#VALUE!</v>
      </c>
      <c r="R177" s="62" t="e">
        <f>R176+('3. Finansinės prielaidos'!J31-'3. Finansinės prielaidos'!I31)+Q177</f>
        <v>#VALUE!</v>
      </c>
      <c r="S177" s="62" t="e" cm="1">
        <f t="array" ref="S177">SUMPRODUCT(--(2033&gt;'2. Investicijos'!$F$5:$F$18),--(2033&lt;='2. Investicijos'!$F$5:$F$18+'2. Investicijos'!$G$5:$G$18),IFERROR(('2. Investicijos'!$M$5:$M$18+IF('2. Investicijos'!$N$5:$N$18&gt;('2. Investicijos'!$H$5:$H$18*IF('2. Investicijos'!$G$5:$G$18&lt;=35,30%,40%)),'2. Investicijos'!$N$5:$N$18-('2. Investicijos'!$H$5:$H$18*IF('2. Investicijos'!$G$5:$G$18&lt;=35,30%,40%)),0)+('2. Investicijos'!$H$5:$H$18*IF('2. Investicijos'!$G$5:$G$18&lt;=35,30%,40%)))/'2. Investicijos'!$G$5:$G$18,0))+SUMPRODUCT(--(2033&gt;'2. Investicijos'!$F$5:$F$18),--(2033&lt;='2. Investicijos'!$F$5:$F$18+'2. Investicijos'!$G$5:$G$18),IFERROR(('2. Investicijos'!$M$5:$M$18+IF('2. Investicijos'!$N$5:$N$18&gt;('2. Investicijos'!$H$5:$H$18*IF('2. Investicijos'!$G$5:$G$18&lt;=35,30%,40%)),'2. Investicijos'!$N$5:$N$18-('2. Investicijos'!$H$5:$H$18*IF('2. Investicijos'!$G$5:$G$18&lt;=35,30%,40%)),0))*(1-((2033-'2. Investicijos'!$F$5:$F$18)-1)/'2. Investicijos'!$G$5:$G$18),0)*'5. 0% scenarijus'!$C$5)</f>
        <v>#VALUE!</v>
      </c>
      <c r="T177" s="62" t="e">
        <f>'3. Finansinės prielaidos'!J29+S177+G177</f>
        <v>#VALUE!</v>
      </c>
      <c r="U177" s="62" t="e">
        <f t="shared" si="70"/>
        <v>#VALUE!</v>
      </c>
      <c r="V177" s="72" t="e">
        <f t="shared" si="71"/>
        <v>#VALUE!</v>
      </c>
      <c r="W177" s="72" t="e">
        <f t="shared" si="72"/>
        <v>#VALUE!</v>
      </c>
      <c r="X177" s="57" t="e">
        <f t="shared" si="73"/>
        <v>#VALUE!</v>
      </c>
      <c r="Y177" s="57" t="e">
        <f t="shared" si="74"/>
        <v>#VALUE!</v>
      </c>
      <c r="Z177" s="57"/>
      <c r="AA177" s="57"/>
      <c r="AB177" s="57"/>
      <c r="AC177" s="57"/>
      <c r="AD177" s="57"/>
      <c r="AE177" s="57"/>
      <c r="AF177" s="57"/>
      <c r="AG177" s="57"/>
      <c r="AH177" s="57"/>
      <c r="AI177" s="57"/>
      <c r="AJ177" s="57"/>
      <c r="AK177" s="57"/>
      <c r="AL177" s="57"/>
      <c r="AM177" s="57"/>
      <c r="AN177" s="57"/>
      <c r="AO177" s="57"/>
      <c r="AP177" s="57"/>
      <c r="AQ177" s="57"/>
      <c r="AR177" s="57"/>
      <c r="AS177" s="57"/>
    </row>
    <row r="178" spans="1:45">
      <c r="A178" s="57">
        <v>14</v>
      </c>
      <c r="B178" s="57">
        <v>2034</v>
      </c>
      <c r="C178" s="62">
        <f>SUM('4. Metinis CAPEX'!N$9:N$22)</f>
        <v>0</v>
      </c>
      <c r="D178" s="62" cm="1">
        <f t="array" ref="D178">SUMPRODUCT('4. Metinis CAPEX'!N$9:N$22,IFERROR('2. Investicijos'!$N$5:$N$18/'2. Investicijos'!$H$5:$H$18,0))</f>
        <v>0</v>
      </c>
      <c r="E178" s="62" cm="1">
        <f t="array" ref="E178">SUMPRODUCT('4. Metinis CAPEX'!N$9:N$22,IFERROR(('2. Investicijos'!$I$5:$I$18+'2. Investicijos'!$J$5:$J$18+'2. Investicijos'!$K$5:$K$18+'2. Investicijos'!$L$5:$L$18)/'2. Investicijos'!$H$5:$H$18,0))</f>
        <v>0</v>
      </c>
      <c r="F178" s="62" cm="1">
        <f t="array" ref="F178">SUM('2. Investicijos'!$H$5:$H$18*IF('2. Investicijos'!$G$5:$G$18&lt;=35,30%,40%))</f>
        <v>0</v>
      </c>
      <c r="G178" s="62" cm="1">
        <f t="array" ref="G178">IF(AND(2034&gt;=2026,2034&lt;2026+'6. Aprašo scenarijus'!$C$4),SUM('2. Investicijos'!$H$5:$H$18*IF('2. Investicijos'!$G$5:$G$18&lt;=35,30%,40%))/'6. Aprašo scenarijus'!$C$4,0)</f>
        <v>0</v>
      </c>
      <c r="H178" s="62">
        <f t="shared" si="68"/>
        <v>0</v>
      </c>
      <c r="I178" s="62">
        <f>SUM(N$5:N$18)</f>
        <v>0</v>
      </c>
      <c r="J178" s="62" t="e" cm="1">
        <f t="array" ref="J178">K178+L178+MAX(0,-R177)*IFERROR(SUMPRODUCT(IF('2. Investicijos'!$N$5:$N$18&gt;('2. Investicijos'!$H$5:$H$18*IF('2. Investicijos'!$G$5:$G$18&lt;=35,30%,40%)),'2. Investicijos'!$N$5:$N$18-('2. Investicijos'!$H$5:$H$18*IF('2. Investicijos'!$G$5:$G$18&lt;=35,30%,40%)),0),'2. Investicijos'!$O$5:$O$18/100)/SUM(IF('2. Investicijos'!$N$5:$N$18&gt;('2. Investicijos'!$H$5:$H$18*IF('2. Investicijos'!$G$5:$G$18&lt;=35,30%,40%)),'2. Investicijos'!$N$5:$N$18-('2. Investicijos'!$H$5:$H$18*IF('2. Investicijos'!$G$5:$G$18&lt;=35,30%,40%)),0)),0)</f>
        <v>#VALUE!</v>
      </c>
      <c r="K178" s="62">
        <f>SUM(AH$5:AH$18)</f>
        <v>0</v>
      </c>
      <c r="L178" s="62">
        <f>SUM(X$5:X$18)</f>
        <v>0</v>
      </c>
      <c r="M178" s="62">
        <f>SUM(AR$5:AR$18)</f>
        <v>0</v>
      </c>
      <c r="N178" s="62">
        <f>'3. Finansinės prielaidos'!K30+M178</f>
        <v>0</v>
      </c>
      <c r="O178" s="62">
        <f>'3. Finansinės prielaidos'!K31</f>
        <v>0</v>
      </c>
      <c r="P178" s="62">
        <f>'3. Finansinės prielaidos'!K32</f>
        <v>0</v>
      </c>
      <c r="Q178" s="62" t="e">
        <f t="shared" si="69"/>
        <v>#VALUE!</v>
      </c>
      <c r="R178" s="62" t="e">
        <f>R177+('3. Finansinės prielaidos'!K31-'3. Finansinės prielaidos'!J31)+Q178</f>
        <v>#VALUE!</v>
      </c>
      <c r="S178" s="62" t="e" cm="1">
        <f t="array" ref="S178">SUMPRODUCT(--(2034&gt;'2. Investicijos'!$F$5:$F$18),--(2034&lt;='2. Investicijos'!$F$5:$F$18+'2. Investicijos'!$G$5:$G$18),IFERROR(('2. Investicijos'!$M$5:$M$18+IF('2. Investicijos'!$N$5:$N$18&gt;('2. Investicijos'!$H$5:$H$18*IF('2. Investicijos'!$G$5:$G$18&lt;=35,30%,40%)),'2. Investicijos'!$N$5:$N$18-('2. Investicijos'!$H$5:$H$18*IF('2. Investicijos'!$G$5:$G$18&lt;=35,30%,40%)),0)+('2. Investicijos'!$H$5:$H$18*IF('2. Investicijos'!$G$5:$G$18&lt;=35,30%,40%)))/'2. Investicijos'!$G$5:$G$18,0))+SUMPRODUCT(--(2034&gt;'2. Investicijos'!$F$5:$F$18),--(2034&lt;='2. Investicijos'!$F$5:$F$18+'2. Investicijos'!$G$5:$G$18),IFERROR(('2. Investicijos'!$M$5:$M$18+IF('2. Investicijos'!$N$5:$N$18&gt;('2. Investicijos'!$H$5:$H$18*IF('2. Investicijos'!$G$5:$G$18&lt;=35,30%,40%)),'2. Investicijos'!$N$5:$N$18-('2. Investicijos'!$H$5:$H$18*IF('2. Investicijos'!$G$5:$G$18&lt;=35,30%,40%)),0))*(1-((2034-'2. Investicijos'!$F$5:$F$18)-1)/'2. Investicijos'!$G$5:$G$18),0)*'5. 0% scenarijus'!$C$5)</f>
        <v>#VALUE!</v>
      </c>
      <c r="T178" s="62" t="e">
        <f>'3. Finansinės prielaidos'!K29+S178+G178</f>
        <v>#VALUE!</v>
      </c>
      <c r="U178" s="62" t="e">
        <f t="shared" si="70"/>
        <v>#VALUE!</v>
      </c>
      <c r="V178" s="72" t="e">
        <f t="shared" si="71"/>
        <v>#VALUE!</v>
      </c>
      <c r="W178" s="72" t="e">
        <f t="shared" si="72"/>
        <v>#VALUE!</v>
      </c>
      <c r="X178" s="57" t="e">
        <f t="shared" si="73"/>
        <v>#VALUE!</v>
      </c>
      <c r="Y178" s="57" t="e">
        <f t="shared" si="74"/>
        <v>#VALUE!</v>
      </c>
      <c r="Z178" s="57"/>
      <c r="AA178" s="57"/>
      <c r="AB178" s="57"/>
      <c r="AC178" s="57"/>
      <c r="AD178" s="57"/>
      <c r="AE178" s="57"/>
      <c r="AF178" s="57"/>
      <c r="AG178" s="57"/>
      <c r="AH178" s="57"/>
      <c r="AI178" s="57"/>
      <c r="AJ178" s="57"/>
      <c r="AK178" s="57"/>
      <c r="AL178" s="57"/>
      <c r="AM178" s="57"/>
      <c r="AN178" s="57"/>
      <c r="AO178" s="57"/>
      <c r="AP178" s="57"/>
      <c r="AQ178" s="57"/>
      <c r="AR178" s="57"/>
      <c r="AS178" s="57"/>
    </row>
    <row r="179" spans="1:45">
      <c r="A179" s="57">
        <v>14</v>
      </c>
      <c r="B179" s="57">
        <v>2035</v>
      </c>
      <c r="C179" s="62">
        <f>SUM('4. Metinis CAPEX'!O$9:O$22)</f>
        <v>0</v>
      </c>
      <c r="D179" s="62" cm="1">
        <f t="array" ref="D179">SUMPRODUCT('4. Metinis CAPEX'!O$9:O$22,IFERROR('2. Investicijos'!$N$5:$N$18/'2. Investicijos'!$H$5:$H$18,0))</f>
        <v>0</v>
      </c>
      <c r="E179" s="62" cm="1">
        <f t="array" ref="E179">SUMPRODUCT('4. Metinis CAPEX'!O$9:O$22,IFERROR(('2. Investicijos'!$I$5:$I$18+'2. Investicijos'!$J$5:$J$18+'2. Investicijos'!$K$5:$K$18+'2. Investicijos'!$L$5:$L$18)/'2. Investicijos'!$H$5:$H$18,0))</f>
        <v>0</v>
      </c>
      <c r="F179" s="62" cm="1">
        <f t="array" ref="F179">SUM('2. Investicijos'!$H$5:$H$18*IF('2. Investicijos'!$G$5:$G$18&lt;=35,30%,40%))</f>
        <v>0</v>
      </c>
      <c r="G179" s="62" cm="1">
        <f t="array" ref="G179">IF(AND(2035&gt;=2026,2035&lt;2026+'6. Aprašo scenarijus'!$C$4),SUM('2. Investicijos'!$H$5:$H$18*IF('2. Investicijos'!$G$5:$G$18&lt;=35,30%,40%))/'6. Aprašo scenarijus'!$C$4,0)</f>
        <v>0</v>
      </c>
      <c r="H179" s="62">
        <f t="shared" si="68"/>
        <v>0</v>
      </c>
      <c r="I179" s="62">
        <f>SUM(O$5:O$18)</f>
        <v>0</v>
      </c>
      <c r="J179" s="62" t="e" cm="1">
        <f t="array" ref="J179">K179+L179+MAX(0,-R178)*IFERROR(SUMPRODUCT(IF('2. Investicijos'!$N$5:$N$18&gt;('2. Investicijos'!$H$5:$H$18*IF('2. Investicijos'!$G$5:$G$18&lt;=35,30%,40%)),'2. Investicijos'!$N$5:$N$18-('2. Investicijos'!$H$5:$H$18*IF('2. Investicijos'!$G$5:$G$18&lt;=35,30%,40%)),0),'2. Investicijos'!$O$5:$O$18/100)/SUM(IF('2. Investicijos'!$N$5:$N$18&gt;('2. Investicijos'!$H$5:$H$18*IF('2. Investicijos'!$G$5:$G$18&lt;=35,30%,40%)),'2. Investicijos'!$N$5:$N$18-('2. Investicijos'!$H$5:$H$18*IF('2. Investicijos'!$G$5:$G$18&lt;=35,30%,40%)),0)),0)</f>
        <v>#VALUE!</v>
      </c>
      <c r="K179" s="62">
        <f>SUM(AI$5:AI$18)</f>
        <v>0</v>
      </c>
      <c r="L179" s="62">
        <f>SUM(Y$5:Y$18)</f>
        <v>0</v>
      </c>
      <c r="M179" s="62">
        <f>SUM(AS$5:AS$18)</f>
        <v>0</v>
      </c>
      <c r="N179" s="62">
        <f>'3. Finansinės prielaidos'!L30+M179</f>
        <v>0</v>
      </c>
      <c r="O179" s="62">
        <f>'3. Finansinės prielaidos'!L31</f>
        <v>0</v>
      </c>
      <c r="P179" s="62">
        <f>'3. Finansinės prielaidos'!L32</f>
        <v>0</v>
      </c>
      <c r="Q179" s="62" t="e">
        <f t="shared" si="69"/>
        <v>#VALUE!</v>
      </c>
      <c r="R179" s="62" t="e">
        <f>R178+('3. Finansinės prielaidos'!L31-'3. Finansinės prielaidos'!K31)+Q179</f>
        <v>#VALUE!</v>
      </c>
      <c r="S179" s="62" t="e" cm="1">
        <f t="array" ref="S179">SUMPRODUCT(--(2035&gt;'2. Investicijos'!$F$5:$F$18),--(2035&lt;='2. Investicijos'!$F$5:$F$18+'2. Investicijos'!$G$5:$G$18),IFERROR(('2. Investicijos'!$M$5:$M$18+IF('2. Investicijos'!$N$5:$N$18&gt;('2. Investicijos'!$H$5:$H$18*IF('2. Investicijos'!$G$5:$G$18&lt;=35,30%,40%)),'2. Investicijos'!$N$5:$N$18-('2. Investicijos'!$H$5:$H$18*IF('2. Investicijos'!$G$5:$G$18&lt;=35,30%,40%)),0)+('2. Investicijos'!$H$5:$H$18*IF('2. Investicijos'!$G$5:$G$18&lt;=35,30%,40%)))/'2. Investicijos'!$G$5:$G$18,0))+SUMPRODUCT(--(2035&gt;'2. Investicijos'!$F$5:$F$18),--(2035&lt;='2. Investicijos'!$F$5:$F$18+'2. Investicijos'!$G$5:$G$18),IFERROR(('2. Investicijos'!$M$5:$M$18+IF('2. Investicijos'!$N$5:$N$18&gt;('2. Investicijos'!$H$5:$H$18*IF('2. Investicijos'!$G$5:$G$18&lt;=35,30%,40%)),'2. Investicijos'!$N$5:$N$18-('2. Investicijos'!$H$5:$H$18*IF('2. Investicijos'!$G$5:$G$18&lt;=35,30%,40%)),0))*(1-((2035-'2. Investicijos'!$F$5:$F$18)-1)/'2. Investicijos'!$G$5:$G$18),0)*'5. 0% scenarijus'!$C$5)</f>
        <v>#VALUE!</v>
      </c>
      <c r="T179" s="62" t="e">
        <f>'3. Finansinės prielaidos'!L29+S179+G179</f>
        <v>#VALUE!</v>
      </c>
      <c r="U179" s="62" t="e">
        <f t="shared" si="70"/>
        <v>#VALUE!</v>
      </c>
      <c r="V179" s="72" t="e">
        <f t="shared" si="71"/>
        <v>#VALUE!</v>
      </c>
      <c r="W179" s="72" t="e">
        <f t="shared" si="72"/>
        <v>#VALUE!</v>
      </c>
      <c r="X179" s="57" t="e">
        <f t="shared" si="73"/>
        <v>#VALUE!</v>
      </c>
      <c r="Y179" s="57" t="e">
        <f t="shared" si="74"/>
        <v>#VALUE!</v>
      </c>
      <c r="Z179" s="57"/>
      <c r="AA179" s="57"/>
      <c r="AB179" s="57"/>
      <c r="AC179" s="57"/>
      <c r="AD179" s="57"/>
      <c r="AE179" s="57"/>
      <c r="AF179" s="57"/>
      <c r="AG179" s="57"/>
      <c r="AH179" s="57"/>
      <c r="AI179" s="57"/>
      <c r="AJ179" s="57"/>
      <c r="AK179" s="57"/>
      <c r="AL179" s="57"/>
      <c r="AM179" s="57"/>
      <c r="AN179" s="57"/>
      <c r="AO179" s="57"/>
      <c r="AP179" s="57"/>
      <c r="AQ179" s="57"/>
      <c r="AR179" s="57"/>
      <c r="AS179" s="57"/>
    </row>
    <row r="180" spans="1:45">
      <c r="A180" s="57">
        <v>15</v>
      </c>
      <c r="B180" s="57">
        <v>2026</v>
      </c>
      <c r="C180" s="62">
        <f>SUM('4. Metinis CAPEX'!F$9:F$23)</f>
        <v>0</v>
      </c>
      <c r="D180" s="62" cm="1">
        <f t="array" ref="D180">SUMPRODUCT('4. Metinis CAPEX'!F$9:F$23,IFERROR('2. Investicijos'!$N$5:$N$19/'2. Investicijos'!$H$5:$H$19,0))</f>
        <v>0</v>
      </c>
      <c r="E180" s="62" cm="1">
        <f t="array" ref="E180">SUMPRODUCT('4. Metinis CAPEX'!F$9:F$23,IFERROR(('2. Investicijos'!$I$5:$I$19+'2. Investicijos'!$J$5:$J$19+'2. Investicijos'!$K$5:$K$19+'2. Investicijos'!$L$5:$L$19)/'2. Investicijos'!$H$5:$H$19,0))</f>
        <v>0</v>
      </c>
      <c r="F180" s="62" cm="1">
        <f t="array" ref="F180">SUM('2. Investicijos'!$H$5:$H$19*IF('2. Investicijos'!$G$5:$G$19&lt;=35,30%,40%))</f>
        <v>0</v>
      </c>
      <c r="G180" s="62" cm="1">
        <f t="array" ref="G180">IF(AND(2026&gt;=2026,2026&lt;2026+'6. Aprašo scenarijus'!$C$4),SUM('2. Investicijos'!$H$5:$H$19*IF('2. Investicijos'!$G$5:$G$19&lt;=35,30%,40%))/'6. Aprašo scenarijus'!$C$4,0)</f>
        <v>0</v>
      </c>
      <c r="H180" s="62">
        <f t="shared" si="68"/>
        <v>0</v>
      </c>
      <c r="I180" s="62">
        <f>SUM(F$5:F$19)</f>
        <v>0</v>
      </c>
      <c r="J180" s="62">
        <f>0</f>
        <v>0</v>
      </c>
      <c r="K180" s="62">
        <f>SUM(Z$5:Z$19)</f>
        <v>0</v>
      </c>
      <c r="L180" s="62">
        <f>SUM(P$5:P$19)</f>
        <v>0</v>
      </c>
      <c r="M180" s="62">
        <f>SUM(AJ$5:AJ$19)</f>
        <v>0</v>
      </c>
      <c r="N180" s="62">
        <f>'3. Finansinės prielaidos'!C30+M180</f>
        <v>0</v>
      </c>
      <c r="O180" s="62">
        <f>'3. Finansinės prielaidos'!C31</f>
        <v>0</v>
      </c>
      <c r="P180" s="62">
        <f>'3. Finansinės prielaidos'!C32</f>
        <v>0</v>
      </c>
      <c r="Q180" s="62" t="e">
        <f t="shared" si="69"/>
        <v>#VALUE!</v>
      </c>
      <c r="R180" s="62" t="e">
        <f>O180+Q180</f>
        <v>#VALUE!</v>
      </c>
      <c r="S180" s="62" t="e" cm="1">
        <f t="array" ref="S180">SUMPRODUCT(--(2026&gt;'2. Investicijos'!$F$5:$F$19),--(2026&lt;='2. Investicijos'!$F$5:$F$19+'2. Investicijos'!$G$5:$G$19),IFERROR(('2. Investicijos'!$M$5:$M$19+IF('2. Investicijos'!$N$5:$N$19&gt;('2. Investicijos'!$H$5:$H$19*IF('2. Investicijos'!$G$5:$G$19&lt;=35,30%,40%)),'2. Investicijos'!$N$5:$N$19-('2. Investicijos'!$H$5:$H$19*IF('2. Investicijos'!$G$5:$G$19&lt;=35,30%,40%)),0)+('2. Investicijos'!$H$5:$H$19*IF('2. Investicijos'!$G$5:$G$19&lt;=35,30%,40%)))/'2. Investicijos'!$G$5:$G$19,0))+SUMPRODUCT(--(2026&gt;'2. Investicijos'!$F$5:$F$19),--(2026&lt;='2. Investicijos'!$F$5:$F$19+'2. Investicijos'!$G$5:$G$19),IFERROR(('2. Investicijos'!$M$5:$M$19+IF('2. Investicijos'!$N$5:$N$19&gt;('2. Investicijos'!$H$5:$H$19*IF('2. Investicijos'!$G$5:$G$19&lt;=35,30%,40%)),'2. Investicijos'!$N$5:$N$19-('2. Investicijos'!$H$5:$H$19*IF('2. Investicijos'!$G$5:$G$19&lt;=35,30%,40%)),0))*(1-((2026-'2. Investicijos'!$F$5:$F$19)-1)/'2. Investicijos'!$G$5:$G$19),0)*'5. 0% scenarijus'!$C$5)</f>
        <v>#VALUE!</v>
      </c>
      <c r="T180" s="62" t="e">
        <f>'3. Finansinės prielaidos'!C29+S180+G180</f>
        <v>#VALUE!</v>
      </c>
      <c r="U180" s="62" t="e">
        <f t="shared" si="70"/>
        <v>#VALUE!</v>
      </c>
      <c r="V180" s="72" t="e">
        <f t="shared" si="71"/>
        <v>#VALUE!</v>
      </c>
      <c r="W180" s="72" t="e">
        <f t="shared" si="72"/>
        <v>#VALUE!</v>
      </c>
      <c r="X180" s="57" t="e">
        <f t="shared" si="73"/>
        <v>#VALUE!</v>
      </c>
      <c r="Y180" s="57" t="e">
        <f t="shared" si="74"/>
        <v>#VALUE!</v>
      </c>
      <c r="Z180" s="57"/>
      <c r="AA180" s="57"/>
      <c r="AB180" s="57"/>
      <c r="AC180" s="57"/>
      <c r="AD180" s="57"/>
      <c r="AE180" s="57"/>
      <c r="AF180" s="57"/>
      <c r="AG180" s="57"/>
      <c r="AH180" s="57"/>
      <c r="AI180" s="57"/>
      <c r="AJ180" s="57"/>
      <c r="AK180" s="57"/>
      <c r="AL180" s="57"/>
      <c r="AM180" s="57"/>
      <c r="AN180" s="57"/>
      <c r="AO180" s="57"/>
      <c r="AP180" s="57"/>
      <c r="AQ180" s="57"/>
      <c r="AR180" s="57"/>
      <c r="AS180" s="57"/>
    </row>
    <row r="181" spans="1:45">
      <c r="A181" s="57">
        <v>15</v>
      </c>
      <c r="B181" s="57">
        <v>2027</v>
      </c>
      <c r="C181" s="62">
        <f>SUM('4. Metinis CAPEX'!G$9:G$23)</f>
        <v>0</v>
      </c>
      <c r="D181" s="62" cm="1">
        <f t="array" ref="D181">SUMPRODUCT('4. Metinis CAPEX'!G$9:G$23,IFERROR('2. Investicijos'!$N$5:$N$19/'2. Investicijos'!$H$5:$H$19,0))</f>
        <v>0</v>
      </c>
      <c r="E181" s="62" cm="1">
        <f t="array" ref="E181">SUMPRODUCT('4. Metinis CAPEX'!G$9:G$23,IFERROR(('2. Investicijos'!$I$5:$I$19+'2. Investicijos'!$J$5:$J$19+'2. Investicijos'!$K$5:$K$19+'2. Investicijos'!$L$5:$L$19)/'2. Investicijos'!$H$5:$H$19,0))</f>
        <v>0</v>
      </c>
      <c r="F181" s="62" cm="1">
        <f t="array" ref="F181">SUM('2. Investicijos'!$H$5:$H$19*IF('2. Investicijos'!$G$5:$G$19&lt;=35,30%,40%))</f>
        <v>0</v>
      </c>
      <c r="G181" s="62" cm="1">
        <f t="array" ref="G181">IF(AND(2027&gt;=2026,2027&lt;2026+'6. Aprašo scenarijus'!$C$4),SUM('2. Investicijos'!$H$5:$H$19*IF('2. Investicijos'!$G$5:$G$19&lt;=35,30%,40%))/'6. Aprašo scenarijus'!$C$4,0)</f>
        <v>0</v>
      </c>
      <c r="H181" s="62">
        <f t="shared" si="68"/>
        <v>0</v>
      </c>
      <c r="I181" s="62">
        <f>SUM(G$5:G$19)</f>
        <v>0</v>
      </c>
      <c r="J181" s="62" t="e" cm="1">
        <f t="array" ref="J181">K181+L181+MAX(0,-R180)*IFERROR(SUMPRODUCT(IF('2. Investicijos'!$N$5:$N$19&gt;('2. Investicijos'!$H$5:$H$19*IF('2. Investicijos'!$G$5:$G$19&lt;=35,30%,40%)),'2. Investicijos'!$N$5:$N$19-('2. Investicijos'!$H$5:$H$19*IF('2. Investicijos'!$G$5:$G$19&lt;=35,30%,40%)),0),'2. Investicijos'!$O$5:$O$19/100)/SUM(IF('2. Investicijos'!$N$5:$N$19&gt;('2. Investicijos'!$H$5:$H$19*IF('2. Investicijos'!$G$5:$G$19&lt;=35,30%,40%)),'2. Investicijos'!$N$5:$N$19-('2. Investicijos'!$H$5:$H$19*IF('2. Investicijos'!$G$5:$G$19&lt;=35,30%,40%)),0)),0)</f>
        <v>#VALUE!</v>
      </c>
      <c r="K181" s="62">
        <f>SUM(AA$5:AA$19)</f>
        <v>0</v>
      </c>
      <c r="L181" s="62">
        <f>SUM(Q$5:Q$19)</f>
        <v>0</v>
      </c>
      <c r="M181" s="62">
        <f>SUM(AK$5:AK$19)</f>
        <v>0</v>
      </c>
      <c r="N181" s="62">
        <f>'3. Finansinės prielaidos'!D30+M181</f>
        <v>0</v>
      </c>
      <c r="O181" s="62">
        <f>'3. Finansinės prielaidos'!D31</f>
        <v>0</v>
      </c>
      <c r="P181" s="62">
        <f>'3. Finansinės prielaidos'!D32</f>
        <v>0</v>
      </c>
      <c r="Q181" s="62" t="e">
        <f t="shared" si="69"/>
        <v>#VALUE!</v>
      </c>
      <c r="R181" s="62" t="e">
        <f>R180+('3. Finansinės prielaidos'!D31-'3. Finansinės prielaidos'!C31)+Q181</f>
        <v>#VALUE!</v>
      </c>
      <c r="S181" s="62" t="e" cm="1">
        <f t="array" ref="S181">SUMPRODUCT(--(2027&gt;'2. Investicijos'!$F$5:$F$19),--(2027&lt;='2. Investicijos'!$F$5:$F$19+'2. Investicijos'!$G$5:$G$19),IFERROR(('2. Investicijos'!$M$5:$M$19+IF('2. Investicijos'!$N$5:$N$19&gt;('2. Investicijos'!$H$5:$H$19*IF('2. Investicijos'!$G$5:$G$19&lt;=35,30%,40%)),'2. Investicijos'!$N$5:$N$19-('2. Investicijos'!$H$5:$H$19*IF('2. Investicijos'!$G$5:$G$19&lt;=35,30%,40%)),0)+('2. Investicijos'!$H$5:$H$19*IF('2. Investicijos'!$G$5:$G$19&lt;=35,30%,40%)))/'2. Investicijos'!$G$5:$G$19,0))+SUMPRODUCT(--(2027&gt;'2. Investicijos'!$F$5:$F$19),--(2027&lt;='2. Investicijos'!$F$5:$F$19+'2. Investicijos'!$G$5:$G$19),IFERROR(('2. Investicijos'!$M$5:$M$19+IF('2. Investicijos'!$N$5:$N$19&gt;('2. Investicijos'!$H$5:$H$19*IF('2. Investicijos'!$G$5:$G$19&lt;=35,30%,40%)),'2. Investicijos'!$N$5:$N$19-('2. Investicijos'!$H$5:$H$19*IF('2. Investicijos'!$G$5:$G$19&lt;=35,30%,40%)),0))*(1-((2027-'2. Investicijos'!$F$5:$F$19)-1)/'2. Investicijos'!$G$5:$G$19),0)*'5. 0% scenarijus'!$C$5)</f>
        <v>#VALUE!</v>
      </c>
      <c r="T181" s="62" t="e">
        <f>'3. Finansinės prielaidos'!D29+S181+G181</f>
        <v>#VALUE!</v>
      </c>
      <c r="U181" s="62" t="e">
        <f t="shared" si="70"/>
        <v>#VALUE!</v>
      </c>
      <c r="V181" s="72" t="e">
        <f t="shared" si="71"/>
        <v>#VALUE!</v>
      </c>
      <c r="W181" s="72" t="e">
        <f t="shared" si="72"/>
        <v>#VALUE!</v>
      </c>
      <c r="X181" s="57" t="e">
        <f t="shared" si="73"/>
        <v>#VALUE!</v>
      </c>
      <c r="Y181" s="57" t="e">
        <f t="shared" si="74"/>
        <v>#VALUE!</v>
      </c>
      <c r="Z181" s="57"/>
      <c r="AA181" s="57"/>
      <c r="AB181" s="57"/>
      <c r="AC181" s="57"/>
      <c r="AD181" s="57"/>
      <c r="AE181" s="57"/>
      <c r="AF181" s="57"/>
      <c r="AG181" s="57"/>
      <c r="AH181" s="57"/>
      <c r="AI181" s="57"/>
      <c r="AJ181" s="57"/>
      <c r="AK181" s="57"/>
      <c r="AL181" s="57"/>
      <c r="AM181" s="57"/>
      <c r="AN181" s="57"/>
      <c r="AO181" s="57"/>
      <c r="AP181" s="57"/>
      <c r="AQ181" s="57"/>
      <c r="AR181" s="57"/>
      <c r="AS181" s="57"/>
    </row>
    <row r="182" spans="1:45">
      <c r="A182" s="57">
        <v>15</v>
      </c>
      <c r="B182" s="57">
        <v>2028</v>
      </c>
      <c r="C182" s="62">
        <f>SUM('4. Metinis CAPEX'!H$9:H$23)</f>
        <v>0</v>
      </c>
      <c r="D182" s="62" cm="1">
        <f t="array" ref="D182">SUMPRODUCT('4. Metinis CAPEX'!H$9:H$23,IFERROR('2. Investicijos'!$N$5:$N$19/'2. Investicijos'!$H$5:$H$19,0))</f>
        <v>0</v>
      </c>
      <c r="E182" s="62" cm="1">
        <f t="array" ref="E182">SUMPRODUCT('4. Metinis CAPEX'!H$9:H$23,IFERROR(('2. Investicijos'!$I$5:$I$19+'2. Investicijos'!$J$5:$J$19+'2. Investicijos'!$K$5:$K$19+'2. Investicijos'!$L$5:$L$19)/'2. Investicijos'!$H$5:$H$19,0))</f>
        <v>0</v>
      </c>
      <c r="F182" s="62" cm="1">
        <f t="array" ref="F182">SUM('2. Investicijos'!$H$5:$H$19*IF('2. Investicijos'!$G$5:$G$19&lt;=35,30%,40%))</f>
        <v>0</v>
      </c>
      <c r="G182" s="62" cm="1">
        <f t="array" ref="G182">IF(AND(2028&gt;=2026,2028&lt;2026+'6. Aprašo scenarijus'!$C$4),SUM('2. Investicijos'!$H$5:$H$19*IF('2. Investicijos'!$G$5:$G$19&lt;=35,30%,40%))/'6. Aprašo scenarijus'!$C$4,0)</f>
        <v>0</v>
      </c>
      <c r="H182" s="62">
        <f t="shared" si="68"/>
        <v>0</v>
      </c>
      <c r="I182" s="62">
        <f>SUM(H$5:H$19)</f>
        <v>0</v>
      </c>
      <c r="J182" s="62" t="e" cm="1">
        <f t="array" ref="J182">K182+L182+MAX(0,-R181)*IFERROR(SUMPRODUCT(IF('2. Investicijos'!$N$5:$N$19&gt;('2. Investicijos'!$H$5:$H$19*IF('2. Investicijos'!$G$5:$G$19&lt;=35,30%,40%)),'2. Investicijos'!$N$5:$N$19-('2. Investicijos'!$H$5:$H$19*IF('2. Investicijos'!$G$5:$G$19&lt;=35,30%,40%)),0),'2. Investicijos'!$O$5:$O$19/100)/SUM(IF('2. Investicijos'!$N$5:$N$19&gt;('2. Investicijos'!$H$5:$H$19*IF('2. Investicijos'!$G$5:$G$19&lt;=35,30%,40%)),'2. Investicijos'!$N$5:$N$19-('2. Investicijos'!$H$5:$H$19*IF('2. Investicijos'!$G$5:$G$19&lt;=35,30%,40%)),0)),0)</f>
        <v>#VALUE!</v>
      </c>
      <c r="K182" s="62">
        <f>SUM(AB$5:AB$19)</f>
        <v>0</v>
      </c>
      <c r="L182" s="62">
        <f>SUM(R$5:R$19)</f>
        <v>0</v>
      </c>
      <c r="M182" s="62">
        <f>SUM(AL$5:AL$19)</f>
        <v>0</v>
      </c>
      <c r="N182" s="62">
        <f>'3. Finansinės prielaidos'!E30+M182</f>
        <v>0</v>
      </c>
      <c r="O182" s="62">
        <f>'3. Finansinės prielaidos'!E31</f>
        <v>0</v>
      </c>
      <c r="P182" s="62">
        <f>'3. Finansinės prielaidos'!E32</f>
        <v>0</v>
      </c>
      <c r="Q182" s="62" t="e">
        <f t="shared" si="69"/>
        <v>#VALUE!</v>
      </c>
      <c r="R182" s="62" t="e">
        <f>R181+('3. Finansinės prielaidos'!E31-'3. Finansinės prielaidos'!D31)+Q182</f>
        <v>#VALUE!</v>
      </c>
      <c r="S182" s="62" t="e" cm="1">
        <f t="array" ref="S182">SUMPRODUCT(--(2028&gt;'2. Investicijos'!$F$5:$F$19),--(2028&lt;='2. Investicijos'!$F$5:$F$19+'2. Investicijos'!$G$5:$G$19),IFERROR(('2. Investicijos'!$M$5:$M$19+IF('2. Investicijos'!$N$5:$N$19&gt;('2. Investicijos'!$H$5:$H$19*IF('2. Investicijos'!$G$5:$G$19&lt;=35,30%,40%)),'2. Investicijos'!$N$5:$N$19-('2. Investicijos'!$H$5:$H$19*IF('2. Investicijos'!$G$5:$G$19&lt;=35,30%,40%)),0)+('2. Investicijos'!$H$5:$H$19*IF('2. Investicijos'!$G$5:$G$19&lt;=35,30%,40%)))/'2. Investicijos'!$G$5:$G$19,0))+SUMPRODUCT(--(2028&gt;'2. Investicijos'!$F$5:$F$19),--(2028&lt;='2. Investicijos'!$F$5:$F$19+'2. Investicijos'!$G$5:$G$19),IFERROR(('2. Investicijos'!$M$5:$M$19+IF('2. Investicijos'!$N$5:$N$19&gt;('2. Investicijos'!$H$5:$H$19*IF('2. Investicijos'!$G$5:$G$19&lt;=35,30%,40%)),'2. Investicijos'!$N$5:$N$19-('2. Investicijos'!$H$5:$H$19*IF('2. Investicijos'!$G$5:$G$19&lt;=35,30%,40%)),0))*(1-((2028-'2. Investicijos'!$F$5:$F$19)-1)/'2. Investicijos'!$G$5:$G$19),0)*'5. 0% scenarijus'!$C$5)</f>
        <v>#VALUE!</v>
      </c>
      <c r="T182" s="62" t="e">
        <f>'3. Finansinės prielaidos'!E29+S182+G182</f>
        <v>#VALUE!</v>
      </c>
      <c r="U182" s="62" t="e">
        <f t="shared" si="70"/>
        <v>#VALUE!</v>
      </c>
      <c r="V182" s="72" t="e">
        <f t="shared" si="71"/>
        <v>#VALUE!</v>
      </c>
      <c r="W182" s="72" t="e">
        <f t="shared" si="72"/>
        <v>#VALUE!</v>
      </c>
      <c r="X182" s="57" t="e">
        <f t="shared" si="73"/>
        <v>#VALUE!</v>
      </c>
      <c r="Y182" s="57" t="e">
        <f t="shared" si="74"/>
        <v>#VALUE!</v>
      </c>
      <c r="Z182" s="57"/>
      <c r="AA182" s="57"/>
      <c r="AB182" s="57"/>
      <c r="AC182" s="57"/>
      <c r="AD182" s="57"/>
      <c r="AE182" s="57"/>
      <c r="AF182" s="57"/>
      <c r="AG182" s="57"/>
      <c r="AH182" s="57"/>
      <c r="AI182" s="57"/>
      <c r="AJ182" s="57"/>
      <c r="AK182" s="57"/>
      <c r="AL182" s="57"/>
      <c r="AM182" s="57"/>
      <c r="AN182" s="57"/>
      <c r="AO182" s="57"/>
      <c r="AP182" s="57"/>
      <c r="AQ182" s="57"/>
      <c r="AR182" s="57"/>
      <c r="AS182" s="57"/>
    </row>
    <row r="183" spans="1:45">
      <c r="A183" s="57">
        <v>15</v>
      </c>
      <c r="B183" s="57">
        <v>2029</v>
      </c>
      <c r="C183" s="62">
        <f>SUM('4. Metinis CAPEX'!I$9:I$23)</f>
        <v>0</v>
      </c>
      <c r="D183" s="62" cm="1">
        <f t="array" ref="D183">SUMPRODUCT('4. Metinis CAPEX'!I$9:I$23,IFERROR('2. Investicijos'!$N$5:$N$19/'2. Investicijos'!$H$5:$H$19,0))</f>
        <v>0</v>
      </c>
      <c r="E183" s="62" cm="1">
        <f t="array" ref="E183">SUMPRODUCT('4. Metinis CAPEX'!I$9:I$23,IFERROR(('2. Investicijos'!$I$5:$I$19+'2. Investicijos'!$J$5:$J$19+'2. Investicijos'!$K$5:$K$19+'2. Investicijos'!$L$5:$L$19)/'2. Investicijos'!$H$5:$H$19,0))</f>
        <v>0</v>
      </c>
      <c r="F183" s="62" cm="1">
        <f t="array" ref="F183">SUM('2. Investicijos'!$H$5:$H$19*IF('2. Investicijos'!$G$5:$G$19&lt;=35,30%,40%))</f>
        <v>0</v>
      </c>
      <c r="G183" s="62" cm="1">
        <f t="array" ref="G183">IF(AND(2029&gt;=2026,2029&lt;2026+'6. Aprašo scenarijus'!$C$4),SUM('2. Investicijos'!$H$5:$H$19*IF('2. Investicijos'!$G$5:$G$19&lt;=35,30%,40%))/'6. Aprašo scenarijus'!$C$4,0)</f>
        <v>0</v>
      </c>
      <c r="H183" s="62">
        <f t="shared" si="68"/>
        <v>0</v>
      </c>
      <c r="I183" s="62">
        <f>SUM(I$5:I$19)</f>
        <v>0</v>
      </c>
      <c r="J183" s="62" t="e" cm="1">
        <f t="array" ref="J183">K183+L183+MAX(0,-R182)*IFERROR(SUMPRODUCT(IF('2. Investicijos'!$N$5:$N$19&gt;('2. Investicijos'!$H$5:$H$19*IF('2. Investicijos'!$G$5:$G$19&lt;=35,30%,40%)),'2. Investicijos'!$N$5:$N$19-('2. Investicijos'!$H$5:$H$19*IF('2. Investicijos'!$G$5:$G$19&lt;=35,30%,40%)),0),'2. Investicijos'!$O$5:$O$19/100)/SUM(IF('2. Investicijos'!$N$5:$N$19&gt;('2. Investicijos'!$H$5:$H$19*IF('2. Investicijos'!$G$5:$G$19&lt;=35,30%,40%)),'2. Investicijos'!$N$5:$N$19-('2. Investicijos'!$H$5:$H$19*IF('2. Investicijos'!$G$5:$G$19&lt;=35,30%,40%)),0)),0)</f>
        <v>#VALUE!</v>
      </c>
      <c r="K183" s="62">
        <f>SUM(AC$5:AC$19)</f>
        <v>0</v>
      </c>
      <c r="L183" s="62">
        <f>SUM(S$5:S$19)</f>
        <v>0</v>
      </c>
      <c r="M183" s="62">
        <f>SUM(AM$5:AM$19)</f>
        <v>0</v>
      </c>
      <c r="N183" s="62">
        <f>'3. Finansinės prielaidos'!F30+M183</f>
        <v>0</v>
      </c>
      <c r="O183" s="62">
        <f>'3. Finansinės prielaidos'!F31</f>
        <v>0</v>
      </c>
      <c r="P183" s="62">
        <f>'3. Finansinės prielaidos'!F32</f>
        <v>0</v>
      </c>
      <c r="Q183" s="62" t="e">
        <f t="shared" si="69"/>
        <v>#VALUE!</v>
      </c>
      <c r="R183" s="62" t="e">
        <f>R182+('3. Finansinės prielaidos'!F31-'3. Finansinės prielaidos'!E31)+Q183</f>
        <v>#VALUE!</v>
      </c>
      <c r="S183" s="62" t="e" cm="1">
        <f t="array" ref="S183">SUMPRODUCT(--(2029&gt;'2. Investicijos'!$F$5:$F$19),--(2029&lt;='2. Investicijos'!$F$5:$F$19+'2. Investicijos'!$G$5:$G$19),IFERROR(('2. Investicijos'!$M$5:$M$19+IF('2. Investicijos'!$N$5:$N$19&gt;('2. Investicijos'!$H$5:$H$19*IF('2. Investicijos'!$G$5:$G$19&lt;=35,30%,40%)),'2. Investicijos'!$N$5:$N$19-('2. Investicijos'!$H$5:$H$19*IF('2. Investicijos'!$G$5:$G$19&lt;=35,30%,40%)),0)+('2. Investicijos'!$H$5:$H$19*IF('2. Investicijos'!$G$5:$G$19&lt;=35,30%,40%)))/'2. Investicijos'!$G$5:$G$19,0))+SUMPRODUCT(--(2029&gt;'2. Investicijos'!$F$5:$F$19),--(2029&lt;='2. Investicijos'!$F$5:$F$19+'2. Investicijos'!$G$5:$G$19),IFERROR(('2. Investicijos'!$M$5:$M$19+IF('2. Investicijos'!$N$5:$N$19&gt;('2. Investicijos'!$H$5:$H$19*IF('2. Investicijos'!$G$5:$G$19&lt;=35,30%,40%)),'2. Investicijos'!$N$5:$N$19-('2. Investicijos'!$H$5:$H$19*IF('2. Investicijos'!$G$5:$G$19&lt;=35,30%,40%)),0))*(1-((2029-'2. Investicijos'!$F$5:$F$19)-1)/'2. Investicijos'!$G$5:$G$19),0)*'5. 0% scenarijus'!$C$5)</f>
        <v>#VALUE!</v>
      </c>
      <c r="T183" s="62" t="e">
        <f>'3. Finansinės prielaidos'!F29+S183+G183</f>
        <v>#VALUE!</v>
      </c>
      <c r="U183" s="62" t="e">
        <f t="shared" si="70"/>
        <v>#VALUE!</v>
      </c>
      <c r="V183" s="72" t="e">
        <f t="shared" si="71"/>
        <v>#VALUE!</v>
      </c>
      <c r="W183" s="72" t="e">
        <f t="shared" si="72"/>
        <v>#VALUE!</v>
      </c>
      <c r="X183" s="57" t="e">
        <f t="shared" si="73"/>
        <v>#VALUE!</v>
      </c>
      <c r="Y183" s="57" t="e">
        <f t="shared" si="74"/>
        <v>#VALUE!</v>
      </c>
      <c r="Z183" s="57"/>
      <c r="AA183" s="57"/>
      <c r="AB183" s="57"/>
      <c r="AC183" s="57"/>
      <c r="AD183" s="57"/>
      <c r="AE183" s="57"/>
      <c r="AF183" s="57"/>
      <c r="AG183" s="57"/>
      <c r="AH183" s="57"/>
      <c r="AI183" s="57"/>
      <c r="AJ183" s="57"/>
      <c r="AK183" s="57"/>
      <c r="AL183" s="57"/>
      <c r="AM183" s="57"/>
      <c r="AN183" s="57"/>
      <c r="AO183" s="57"/>
      <c r="AP183" s="57"/>
      <c r="AQ183" s="57"/>
      <c r="AR183" s="57"/>
      <c r="AS183" s="57"/>
    </row>
    <row r="184" spans="1:45">
      <c r="A184" s="57">
        <v>15</v>
      </c>
      <c r="B184" s="57">
        <v>2030</v>
      </c>
      <c r="C184" s="62">
        <f>SUM('4. Metinis CAPEX'!J$9:J$23)</f>
        <v>0</v>
      </c>
      <c r="D184" s="62" cm="1">
        <f t="array" ref="D184">SUMPRODUCT('4. Metinis CAPEX'!J$9:J$23,IFERROR('2. Investicijos'!$N$5:$N$19/'2. Investicijos'!$H$5:$H$19,0))</f>
        <v>0</v>
      </c>
      <c r="E184" s="62" cm="1">
        <f t="array" ref="E184">SUMPRODUCT('4. Metinis CAPEX'!J$9:J$23,IFERROR(('2. Investicijos'!$I$5:$I$19+'2. Investicijos'!$J$5:$J$19+'2. Investicijos'!$K$5:$K$19+'2. Investicijos'!$L$5:$L$19)/'2. Investicijos'!$H$5:$H$19,0))</f>
        <v>0</v>
      </c>
      <c r="F184" s="62" cm="1">
        <f t="array" ref="F184">SUM('2. Investicijos'!$H$5:$H$19*IF('2. Investicijos'!$G$5:$G$19&lt;=35,30%,40%))</f>
        <v>0</v>
      </c>
      <c r="G184" s="62" cm="1">
        <f t="array" ref="G184">IF(AND(2030&gt;=2026,2030&lt;2026+'6. Aprašo scenarijus'!$C$4),SUM('2. Investicijos'!$H$5:$H$19*IF('2. Investicijos'!$G$5:$G$19&lt;=35,30%,40%))/'6. Aprašo scenarijus'!$C$4,0)</f>
        <v>0</v>
      </c>
      <c r="H184" s="62">
        <f t="shared" si="68"/>
        <v>0</v>
      </c>
      <c r="I184" s="62">
        <f>SUM(J$5:J$19)</f>
        <v>0</v>
      </c>
      <c r="J184" s="62" t="e" cm="1">
        <f t="array" ref="J184">K184+L184+MAX(0,-R183)*IFERROR(SUMPRODUCT(IF('2. Investicijos'!$N$5:$N$19&gt;('2. Investicijos'!$H$5:$H$19*IF('2. Investicijos'!$G$5:$G$19&lt;=35,30%,40%)),'2. Investicijos'!$N$5:$N$19-('2. Investicijos'!$H$5:$H$19*IF('2. Investicijos'!$G$5:$G$19&lt;=35,30%,40%)),0),'2. Investicijos'!$O$5:$O$19/100)/SUM(IF('2. Investicijos'!$N$5:$N$19&gt;('2. Investicijos'!$H$5:$H$19*IF('2. Investicijos'!$G$5:$G$19&lt;=35,30%,40%)),'2. Investicijos'!$N$5:$N$19-('2. Investicijos'!$H$5:$H$19*IF('2. Investicijos'!$G$5:$G$19&lt;=35,30%,40%)),0)),0)</f>
        <v>#VALUE!</v>
      </c>
      <c r="K184" s="62">
        <f>SUM(AD$5:AD$19)</f>
        <v>0</v>
      </c>
      <c r="L184" s="62">
        <f>SUM(T$5:T$19)</f>
        <v>0</v>
      </c>
      <c r="M184" s="62">
        <f>SUM(AN$5:AN$19)</f>
        <v>0</v>
      </c>
      <c r="N184" s="62">
        <f>'3. Finansinės prielaidos'!G30+M184</f>
        <v>0</v>
      </c>
      <c r="O184" s="62">
        <f>'3. Finansinės prielaidos'!G31</f>
        <v>0</v>
      </c>
      <c r="P184" s="62">
        <f>'3. Finansinės prielaidos'!G32</f>
        <v>0</v>
      </c>
      <c r="Q184" s="62" t="e">
        <f t="shared" si="69"/>
        <v>#VALUE!</v>
      </c>
      <c r="R184" s="62" t="e">
        <f>R183+('3. Finansinės prielaidos'!G31-'3. Finansinės prielaidos'!F31)+Q184</f>
        <v>#VALUE!</v>
      </c>
      <c r="S184" s="62" t="e" cm="1">
        <f t="array" ref="S184">SUMPRODUCT(--(2030&gt;'2. Investicijos'!$F$5:$F$19),--(2030&lt;='2. Investicijos'!$F$5:$F$19+'2. Investicijos'!$G$5:$G$19),IFERROR(('2. Investicijos'!$M$5:$M$19+IF('2. Investicijos'!$N$5:$N$19&gt;('2. Investicijos'!$H$5:$H$19*IF('2. Investicijos'!$G$5:$G$19&lt;=35,30%,40%)),'2. Investicijos'!$N$5:$N$19-('2. Investicijos'!$H$5:$H$19*IF('2. Investicijos'!$G$5:$G$19&lt;=35,30%,40%)),0)+('2. Investicijos'!$H$5:$H$19*IF('2. Investicijos'!$G$5:$G$19&lt;=35,30%,40%)))/'2. Investicijos'!$G$5:$G$19,0))+SUMPRODUCT(--(2030&gt;'2. Investicijos'!$F$5:$F$19),--(2030&lt;='2. Investicijos'!$F$5:$F$19+'2. Investicijos'!$G$5:$G$19),IFERROR(('2. Investicijos'!$M$5:$M$19+IF('2. Investicijos'!$N$5:$N$19&gt;('2. Investicijos'!$H$5:$H$19*IF('2. Investicijos'!$G$5:$G$19&lt;=35,30%,40%)),'2. Investicijos'!$N$5:$N$19-('2. Investicijos'!$H$5:$H$19*IF('2. Investicijos'!$G$5:$G$19&lt;=35,30%,40%)),0))*(1-((2030-'2. Investicijos'!$F$5:$F$19)-1)/'2. Investicijos'!$G$5:$G$19),0)*'5. 0% scenarijus'!$C$5)</f>
        <v>#VALUE!</v>
      </c>
      <c r="T184" s="62" t="e">
        <f>'3. Finansinės prielaidos'!G29+S184+G184</f>
        <v>#VALUE!</v>
      </c>
      <c r="U184" s="62" t="e">
        <f t="shared" si="70"/>
        <v>#VALUE!</v>
      </c>
      <c r="V184" s="72" t="e">
        <f t="shared" si="71"/>
        <v>#VALUE!</v>
      </c>
      <c r="W184" s="72" t="e">
        <f t="shared" si="72"/>
        <v>#VALUE!</v>
      </c>
      <c r="X184" s="57" t="e">
        <f t="shared" si="73"/>
        <v>#VALUE!</v>
      </c>
      <c r="Y184" s="57" t="e">
        <f t="shared" si="74"/>
        <v>#VALUE!</v>
      </c>
      <c r="Z184" s="57"/>
      <c r="AA184" s="57"/>
      <c r="AB184" s="57"/>
      <c r="AC184" s="57"/>
      <c r="AD184" s="57"/>
      <c r="AE184" s="57"/>
      <c r="AF184" s="57"/>
      <c r="AG184" s="57"/>
      <c r="AH184" s="57"/>
      <c r="AI184" s="57"/>
      <c r="AJ184" s="57"/>
      <c r="AK184" s="57"/>
      <c r="AL184" s="57"/>
      <c r="AM184" s="57"/>
      <c r="AN184" s="57"/>
      <c r="AO184" s="57"/>
      <c r="AP184" s="57"/>
      <c r="AQ184" s="57"/>
      <c r="AR184" s="57"/>
      <c r="AS184" s="57"/>
    </row>
    <row r="185" spans="1:45">
      <c r="A185" s="57">
        <v>15</v>
      </c>
      <c r="B185" s="57">
        <v>2031</v>
      </c>
      <c r="C185" s="62">
        <f>SUM('4. Metinis CAPEX'!K$9:K$23)</f>
        <v>0</v>
      </c>
      <c r="D185" s="62" cm="1">
        <f t="array" ref="D185">SUMPRODUCT('4. Metinis CAPEX'!K$9:K$23,IFERROR('2. Investicijos'!$N$5:$N$19/'2. Investicijos'!$H$5:$H$19,0))</f>
        <v>0</v>
      </c>
      <c r="E185" s="62" cm="1">
        <f t="array" ref="E185">SUMPRODUCT('4. Metinis CAPEX'!K$9:K$23,IFERROR(('2. Investicijos'!$I$5:$I$19+'2. Investicijos'!$J$5:$J$19+'2. Investicijos'!$K$5:$K$19+'2. Investicijos'!$L$5:$L$19)/'2. Investicijos'!$H$5:$H$19,0))</f>
        <v>0</v>
      </c>
      <c r="F185" s="62" cm="1">
        <f t="array" ref="F185">SUM('2. Investicijos'!$H$5:$H$19*IF('2. Investicijos'!$G$5:$G$19&lt;=35,30%,40%))</f>
        <v>0</v>
      </c>
      <c r="G185" s="62" cm="1">
        <f t="array" ref="G185">IF(AND(2031&gt;=2026,2031&lt;2026+'6. Aprašo scenarijus'!$C$4),SUM('2. Investicijos'!$H$5:$H$19*IF('2. Investicijos'!$G$5:$G$19&lt;=35,30%,40%))/'6. Aprašo scenarijus'!$C$4,0)</f>
        <v>0</v>
      </c>
      <c r="H185" s="62">
        <f t="shared" si="68"/>
        <v>0</v>
      </c>
      <c r="I185" s="62">
        <f>SUM(K$5:K$19)</f>
        <v>0</v>
      </c>
      <c r="J185" s="62" t="e" cm="1">
        <f t="array" ref="J185">K185+L185+MAX(0,-R184)*IFERROR(SUMPRODUCT(IF('2. Investicijos'!$N$5:$N$19&gt;('2. Investicijos'!$H$5:$H$19*IF('2. Investicijos'!$G$5:$G$19&lt;=35,30%,40%)),'2. Investicijos'!$N$5:$N$19-('2. Investicijos'!$H$5:$H$19*IF('2. Investicijos'!$G$5:$G$19&lt;=35,30%,40%)),0),'2. Investicijos'!$O$5:$O$19/100)/SUM(IF('2. Investicijos'!$N$5:$N$19&gt;('2. Investicijos'!$H$5:$H$19*IF('2. Investicijos'!$G$5:$G$19&lt;=35,30%,40%)),'2. Investicijos'!$N$5:$N$19-('2. Investicijos'!$H$5:$H$19*IF('2. Investicijos'!$G$5:$G$19&lt;=35,30%,40%)),0)),0)</f>
        <v>#VALUE!</v>
      </c>
      <c r="K185" s="62">
        <f>SUM(AE$5:AE$19)</f>
        <v>0</v>
      </c>
      <c r="L185" s="62">
        <f>SUM(U$5:U$19)</f>
        <v>0</v>
      </c>
      <c r="M185" s="62">
        <f>SUM(AO$5:AO$19)</f>
        <v>0</v>
      </c>
      <c r="N185" s="62">
        <f>'3. Finansinės prielaidos'!H30+M185</f>
        <v>0</v>
      </c>
      <c r="O185" s="62">
        <f>'3. Finansinės prielaidos'!H31</f>
        <v>0</v>
      </c>
      <c r="P185" s="62">
        <f>'3. Finansinės prielaidos'!H32</f>
        <v>0</v>
      </c>
      <c r="Q185" s="62" t="e">
        <f t="shared" si="69"/>
        <v>#VALUE!</v>
      </c>
      <c r="R185" s="62" t="e">
        <f>R184+('3. Finansinės prielaidos'!H31-'3. Finansinės prielaidos'!G31)+Q185</f>
        <v>#VALUE!</v>
      </c>
      <c r="S185" s="62" t="e" cm="1">
        <f t="array" ref="S185">SUMPRODUCT(--(2031&gt;'2. Investicijos'!$F$5:$F$19),--(2031&lt;='2. Investicijos'!$F$5:$F$19+'2. Investicijos'!$G$5:$G$19),IFERROR(('2. Investicijos'!$M$5:$M$19+IF('2. Investicijos'!$N$5:$N$19&gt;('2. Investicijos'!$H$5:$H$19*IF('2. Investicijos'!$G$5:$G$19&lt;=35,30%,40%)),'2. Investicijos'!$N$5:$N$19-('2. Investicijos'!$H$5:$H$19*IF('2. Investicijos'!$G$5:$G$19&lt;=35,30%,40%)),0)+('2. Investicijos'!$H$5:$H$19*IF('2. Investicijos'!$G$5:$G$19&lt;=35,30%,40%)))/'2. Investicijos'!$G$5:$G$19,0))+SUMPRODUCT(--(2031&gt;'2. Investicijos'!$F$5:$F$19),--(2031&lt;='2. Investicijos'!$F$5:$F$19+'2. Investicijos'!$G$5:$G$19),IFERROR(('2. Investicijos'!$M$5:$M$19+IF('2. Investicijos'!$N$5:$N$19&gt;('2. Investicijos'!$H$5:$H$19*IF('2. Investicijos'!$G$5:$G$19&lt;=35,30%,40%)),'2. Investicijos'!$N$5:$N$19-('2. Investicijos'!$H$5:$H$19*IF('2. Investicijos'!$G$5:$G$19&lt;=35,30%,40%)),0))*(1-((2031-'2. Investicijos'!$F$5:$F$19)-1)/'2. Investicijos'!$G$5:$G$19),0)*'5. 0% scenarijus'!$C$5)</f>
        <v>#VALUE!</v>
      </c>
      <c r="T185" s="62" t="e">
        <f>'3. Finansinės prielaidos'!H29+S185+G185</f>
        <v>#VALUE!</v>
      </c>
      <c r="U185" s="62" t="e">
        <f t="shared" si="70"/>
        <v>#VALUE!</v>
      </c>
      <c r="V185" s="72" t="e">
        <f t="shared" si="71"/>
        <v>#VALUE!</v>
      </c>
      <c r="W185" s="72" t="e">
        <f t="shared" si="72"/>
        <v>#VALUE!</v>
      </c>
      <c r="X185" s="57" t="e">
        <f t="shared" si="73"/>
        <v>#VALUE!</v>
      </c>
      <c r="Y185" s="57" t="e">
        <f t="shared" si="74"/>
        <v>#VALUE!</v>
      </c>
      <c r="Z185" s="57"/>
      <c r="AA185" s="57"/>
      <c r="AB185" s="57"/>
      <c r="AC185" s="57"/>
      <c r="AD185" s="57"/>
      <c r="AE185" s="57"/>
      <c r="AF185" s="57"/>
      <c r="AG185" s="57"/>
      <c r="AH185" s="57"/>
      <c r="AI185" s="57"/>
      <c r="AJ185" s="57"/>
      <c r="AK185" s="57"/>
      <c r="AL185" s="57"/>
      <c r="AM185" s="57"/>
      <c r="AN185" s="57"/>
      <c r="AO185" s="57"/>
      <c r="AP185" s="57"/>
      <c r="AQ185" s="57"/>
      <c r="AR185" s="57"/>
      <c r="AS185" s="57"/>
    </row>
    <row r="186" spans="1:45">
      <c r="A186" s="57">
        <v>15</v>
      </c>
      <c r="B186" s="57">
        <v>2032</v>
      </c>
      <c r="C186" s="62">
        <f>SUM('4. Metinis CAPEX'!L$9:L$23)</f>
        <v>0</v>
      </c>
      <c r="D186" s="62" cm="1">
        <f t="array" ref="D186">SUMPRODUCT('4. Metinis CAPEX'!L$9:L$23,IFERROR('2. Investicijos'!$N$5:$N$19/'2. Investicijos'!$H$5:$H$19,0))</f>
        <v>0</v>
      </c>
      <c r="E186" s="62" cm="1">
        <f t="array" ref="E186">SUMPRODUCT('4. Metinis CAPEX'!L$9:L$23,IFERROR(('2. Investicijos'!$I$5:$I$19+'2. Investicijos'!$J$5:$J$19+'2. Investicijos'!$K$5:$K$19+'2. Investicijos'!$L$5:$L$19)/'2. Investicijos'!$H$5:$H$19,0))</f>
        <v>0</v>
      </c>
      <c r="F186" s="62" cm="1">
        <f t="array" ref="F186">SUM('2. Investicijos'!$H$5:$H$19*IF('2. Investicijos'!$G$5:$G$19&lt;=35,30%,40%))</f>
        <v>0</v>
      </c>
      <c r="G186" s="62" cm="1">
        <f t="array" ref="G186">IF(AND(2032&gt;=2026,2032&lt;2026+'6. Aprašo scenarijus'!$C$4),SUM('2. Investicijos'!$H$5:$H$19*IF('2. Investicijos'!$G$5:$G$19&lt;=35,30%,40%))/'6. Aprašo scenarijus'!$C$4,0)</f>
        <v>0</v>
      </c>
      <c r="H186" s="62">
        <f t="shared" si="68"/>
        <v>0</v>
      </c>
      <c r="I186" s="62">
        <f>SUM(L$5:L$19)</f>
        <v>0</v>
      </c>
      <c r="J186" s="62" t="e" cm="1">
        <f t="array" ref="J186">K186+L186+MAX(0,-R185)*IFERROR(SUMPRODUCT(IF('2. Investicijos'!$N$5:$N$19&gt;('2. Investicijos'!$H$5:$H$19*IF('2. Investicijos'!$G$5:$G$19&lt;=35,30%,40%)),'2. Investicijos'!$N$5:$N$19-('2. Investicijos'!$H$5:$H$19*IF('2. Investicijos'!$G$5:$G$19&lt;=35,30%,40%)),0),'2. Investicijos'!$O$5:$O$19/100)/SUM(IF('2. Investicijos'!$N$5:$N$19&gt;('2. Investicijos'!$H$5:$H$19*IF('2. Investicijos'!$G$5:$G$19&lt;=35,30%,40%)),'2. Investicijos'!$N$5:$N$19-('2. Investicijos'!$H$5:$H$19*IF('2. Investicijos'!$G$5:$G$19&lt;=35,30%,40%)),0)),0)</f>
        <v>#VALUE!</v>
      </c>
      <c r="K186" s="62">
        <f>SUM(AF$5:AF$19)</f>
        <v>0</v>
      </c>
      <c r="L186" s="62">
        <f>SUM(V$5:V$19)</f>
        <v>0</v>
      </c>
      <c r="M186" s="62">
        <f>SUM(AP$5:AP$19)</f>
        <v>0</v>
      </c>
      <c r="N186" s="62">
        <f>'3. Finansinės prielaidos'!I30+M186</f>
        <v>0</v>
      </c>
      <c r="O186" s="62">
        <f>'3. Finansinės prielaidos'!I31</f>
        <v>0</v>
      </c>
      <c r="P186" s="62">
        <f>'3. Finansinės prielaidos'!I32</f>
        <v>0</v>
      </c>
      <c r="Q186" s="62" t="e">
        <f t="shared" si="69"/>
        <v>#VALUE!</v>
      </c>
      <c r="R186" s="62" t="e">
        <f>R185+('3. Finansinės prielaidos'!I31-'3. Finansinės prielaidos'!H31)+Q186</f>
        <v>#VALUE!</v>
      </c>
      <c r="S186" s="62" t="e" cm="1">
        <f t="array" ref="S186">SUMPRODUCT(--(2032&gt;'2. Investicijos'!$F$5:$F$19),--(2032&lt;='2. Investicijos'!$F$5:$F$19+'2. Investicijos'!$G$5:$G$19),IFERROR(('2. Investicijos'!$M$5:$M$19+IF('2. Investicijos'!$N$5:$N$19&gt;('2. Investicijos'!$H$5:$H$19*IF('2. Investicijos'!$G$5:$G$19&lt;=35,30%,40%)),'2. Investicijos'!$N$5:$N$19-('2. Investicijos'!$H$5:$H$19*IF('2. Investicijos'!$G$5:$G$19&lt;=35,30%,40%)),0)+('2. Investicijos'!$H$5:$H$19*IF('2. Investicijos'!$G$5:$G$19&lt;=35,30%,40%)))/'2. Investicijos'!$G$5:$G$19,0))+SUMPRODUCT(--(2032&gt;'2. Investicijos'!$F$5:$F$19),--(2032&lt;='2. Investicijos'!$F$5:$F$19+'2. Investicijos'!$G$5:$G$19),IFERROR(('2. Investicijos'!$M$5:$M$19+IF('2. Investicijos'!$N$5:$N$19&gt;('2. Investicijos'!$H$5:$H$19*IF('2. Investicijos'!$G$5:$G$19&lt;=35,30%,40%)),'2. Investicijos'!$N$5:$N$19-('2. Investicijos'!$H$5:$H$19*IF('2. Investicijos'!$G$5:$G$19&lt;=35,30%,40%)),0))*(1-((2032-'2. Investicijos'!$F$5:$F$19)-1)/'2. Investicijos'!$G$5:$G$19),0)*'5. 0% scenarijus'!$C$5)</f>
        <v>#VALUE!</v>
      </c>
      <c r="T186" s="62" t="e">
        <f>'3. Finansinės prielaidos'!I29+S186+G186</f>
        <v>#VALUE!</v>
      </c>
      <c r="U186" s="62" t="e">
        <f t="shared" si="70"/>
        <v>#VALUE!</v>
      </c>
      <c r="V186" s="72" t="e">
        <f t="shared" si="71"/>
        <v>#VALUE!</v>
      </c>
      <c r="W186" s="72" t="e">
        <f t="shared" si="72"/>
        <v>#VALUE!</v>
      </c>
      <c r="X186" s="57" t="e">
        <f t="shared" si="73"/>
        <v>#VALUE!</v>
      </c>
      <c r="Y186" s="57" t="e">
        <f t="shared" si="74"/>
        <v>#VALUE!</v>
      </c>
      <c r="Z186" s="57"/>
      <c r="AA186" s="57"/>
      <c r="AB186" s="57"/>
      <c r="AC186" s="57"/>
      <c r="AD186" s="57"/>
      <c r="AE186" s="57"/>
      <c r="AF186" s="57"/>
      <c r="AG186" s="57"/>
      <c r="AH186" s="57"/>
      <c r="AI186" s="57"/>
      <c r="AJ186" s="57"/>
      <c r="AK186" s="57"/>
      <c r="AL186" s="57"/>
      <c r="AM186" s="57"/>
      <c r="AN186" s="57"/>
      <c r="AO186" s="57"/>
      <c r="AP186" s="57"/>
      <c r="AQ186" s="57"/>
      <c r="AR186" s="57"/>
      <c r="AS186" s="57"/>
    </row>
    <row r="187" spans="1:45">
      <c r="A187" s="57">
        <v>15</v>
      </c>
      <c r="B187" s="57">
        <v>2033</v>
      </c>
      <c r="C187" s="62">
        <f>SUM('4. Metinis CAPEX'!M$9:M$23)</f>
        <v>0</v>
      </c>
      <c r="D187" s="62" cm="1">
        <f t="array" ref="D187">SUMPRODUCT('4. Metinis CAPEX'!M$9:M$23,IFERROR('2. Investicijos'!$N$5:$N$19/'2. Investicijos'!$H$5:$H$19,0))</f>
        <v>0</v>
      </c>
      <c r="E187" s="62" cm="1">
        <f t="array" ref="E187">SUMPRODUCT('4. Metinis CAPEX'!M$9:M$23,IFERROR(('2. Investicijos'!$I$5:$I$19+'2. Investicijos'!$J$5:$J$19+'2. Investicijos'!$K$5:$K$19+'2. Investicijos'!$L$5:$L$19)/'2. Investicijos'!$H$5:$H$19,0))</f>
        <v>0</v>
      </c>
      <c r="F187" s="62" cm="1">
        <f t="array" ref="F187">SUM('2. Investicijos'!$H$5:$H$19*IF('2. Investicijos'!$G$5:$G$19&lt;=35,30%,40%))</f>
        <v>0</v>
      </c>
      <c r="G187" s="62" cm="1">
        <f t="array" ref="G187">IF(AND(2033&gt;=2026,2033&lt;2026+'6. Aprašo scenarijus'!$C$4),SUM('2. Investicijos'!$H$5:$H$19*IF('2. Investicijos'!$G$5:$G$19&lt;=35,30%,40%))/'6. Aprašo scenarijus'!$C$4,0)</f>
        <v>0</v>
      </c>
      <c r="H187" s="62">
        <f t="shared" si="68"/>
        <v>0</v>
      </c>
      <c r="I187" s="62">
        <f>SUM(M$5:M$19)</f>
        <v>0</v>
      </c>
      <c r="J187" s="62" t="e" cm="1">
        <f t="array" ref="J187">K187+L187+MAX(0,-R186)*IFERROR(SUMPRODUCT(IF('2. Investicijos'!$N$5:$N$19&gt;('2. Investicijos'!$H$5:$H$19*IF('2. Investicijos'!$G$5:$G$19&lt;=35,30%,40%)),'2. Investicijos'!$N$5:$N$19-('2. Investicijos'!$H$5:$H$19*IF('2. Investicijos'!$G$5:$G$19&lt;=35,30%,40%)),0),'2. Investicijos'!$O$5:$O$19/100)/SUM(IF('2. Investicijos'!$N$5:$N$19&gt;('2. Investicijos'!$H$5:$H$19*IF('2. Investicijos'!$G$5:$G$19&lt;=35,30%,40%)),'2. Investicijos'!$N$5:$N$19-('2. Investicijos'!$H$5:$H$19*IF('2. Investicijos'!$G$5:$G$19&lt;=35,30%,40%)),0)),0)</f>
        <v>#VALUE!</v>
      </c>
      <c r="K187" s="62">
        <f>SUM(AG$5:AG$19)</f>
        <v>0</v>
      </c>
      <c r="L187" s="62">
        <f>SUM(W$5:W$19)</f>
        <v>0</v>
      </c>
      <c r="M187" s="62">
        <f>SUM(AQ$5:AQ$19)</f>
        <v>0</v>
      </c>
      <c r="N187" s="62">
        <f>'3. Finansinės prielaidos'!J30+M187</f>
        <v>0</v>
      </c>
      <c r="O187" s="62">
        <f>'3. Finansinės prielaidos'!J31</f>
        <v>0</v>
      </c>
      <c r="P187" s="62">
        <f>'3. Finansinės prielaidos'!J32</f>
        <v>0</v>
      </c>
      <c r="Q187" s="62" t="e">
        <f t="shared" si="69"/>
        <v>#VALUE!</v>
      </c>
      <c r="R187" s="62" t="e">
        <f>R186+('3. Finansinės prielaidos'!J31-'3. Finansinės prielaidos'!I31)+Q187</f>
        <v>#VALUE!</v>
      </c>
      <c r="S187" s="62" t="e" cm="1">
        <f t="array" ref="S187">SUMPRODUCT(--(2033&gt;'2. Investicijos'!$F$5:$F$19),--(2033&lt;='2. Investicijos'!$F$5:$F$19+'2. Investicijos'!$G$5:$G$19),IFERROR(('2. Investicijos'!$M$5:$M$19+IF('2. Investicijos'!$N$5:$N$19&gt;('2. Investicijos'!$H$5:$H$19*IF('2. Investicijos'!$G$5:$G$19&lt;=35,30%,40%)),'2. Investicijos'!$N$5:$N$19-('2. Investicijos'!$H$5:$H$19*IF('2. Investicijos'!$G$5:$G$19&lt;=35,30%,40%)),0)+('2. Investicijos'!$H$5:$H$19*IF('2. Investicijos'!$G$5:$G$19&lt;=35,30%,40%)))/'2. Investicijos'!$G$5:$G$19,0))+SUMPRODUCT(--(2033&gt;'2. Investicijos'!$F$5:$F$19),--(2033&lt;='2. Investicijos'!$F$5:$F$19+'2. Investicijos'!$G$5:$G$19),IFERROR(('2. Investicijos'!$M$5:$M$19+IF('2. Investicijos'!$N$5:$N$19&gt;('2. Investicijos'!$H$5:$H$19*IF('2. Investicijos'!$G$5:$G$19&lt;=35,30%,40%)),'2. Investicijos'!$N$5:$N$19-('2. Investicijos'!$H$5:$H$19*IF('2. Investicijos'!$G$5:$G$19&lt;=35,30%,40%)),0))*(1-((2033-'2. Investicijos'!$F$5:$F$19)-1)/'2. Investicijos'!$G$5:$G$19),0)*'5. 0% scenarijus'!$C$5)</f>
        <v>#VALUE!</v>
      </c>
      <c r="T187" s="62" t="e">
        <f>'3. Finansinės prielaidos'!J29+S187+G187</f>
        <v>#VALUE!</v>
      </c>
      <c r="U187" s="62" t="e">
        <f t="shared" si="70"/>
        <v>#VALUE!</v>
      </c>
      <c r="V187" s="72" t="e">
        <f t="shared" si="71"/>
        <v>#VALUE!</v>
      </c>
      <c r="W187" s="72" t="e">
        <f t="shared" si="72"/>
        <v>#VALUE!</v>
      </c>
      <c r="X187" s="57" t="e">
        <f t="shared" si="73"/>
        <v>#VALUE!</v>
      </c>
      <c r="Y187" s="57" t="e">
        <f t="shared" si="74"/>
        <v>#VALUE!</v>
      </c>
      <c r="Z187" s="57"/>
      <c r="AA187" s="57"/>
      <c r="AB187" s="57"/>
      <c r="AC187" s="57"/>
      <c r="AD187" s="57"/>
      <c r="AE187" s="57"/>
      <c r="AF187" s="57"/>
      <c r="AG187" s="57"/>
      <c r="AH187" s="57"/>
      <c r="AI187" s="57"/>
      <c r="AJ187" s="57"/>
      <c r="AK187" s="57"/>
      <c r="AL187" s="57"/>
      <c r="AM187" s="57"/>
      <c r="AN187" s="57"/>
      <c r="AO187" s="57"/>
      <c r="AP187" s="57"/>
      <c r="AQ187" s="57"/>
      <c r="AR187" s="57"/>
      <c r="AS187" s="57"/>
    </row>
    <row r="188" spans="1:45">
      <c r="A188" s="57">
        <v>15</v>
      </c>
      <c r="B188" s="57">
        <v>2034</v>
      </c>
      <c r="C188" s="62">
        <f>SUM('4. Metinis CAPEX'!N$9:N$23)</f>
        <v>0</v>
      </c>
      <c r="D188" s="62" cm="1">
        <f t="array" ref="D188">SUMPRODUCT('4. Metinis CAPEX'!N$9:N$23,IFERROR('2. Investicijos'!$N$5:$N$19/'2. Investicijos'!$H$5:$H$19,0))</f>
        <v>0</v>
      </c>
      <c r="E188" s="62" cm="1">
        <f t="array" ref="E188">SUMPRODUCT('4. Metinis CAPEX'!N$9:N$23,IFERROR(('2. Investicijos'!$I$5:$I$19+'2. Investicijos'!$J$5:$J$19+'2. Investicijos'!$K$5:$K$19+'2. Investicijos'!$L$5:$L$19)/'2. Investicijos'!$H$5:$H$19,0))</f>
        <v>0</v>
      </c>
      <c r="F188" s="62" cm="1">
        <f t="array" ref="F188">SUM('2. Investicijos'!$H$5:$H$19*IF('2. Investicijos'!$G$5:$G$19&lt;=35,30%,40%))</f>
        <v>0</v>
      </c>
      <c r="G188" s="62" cm="1">
        <f t="array" ref="G188">IF(AND(2034&gt;=2026,2034&lt;2026+'6. Aprašo scenarijus'!$C$4),SUM('2. Investicijos'!$H$5:$H$19*IF('2. Investicijos'!$G$5:$G$19&lt;=35,30%,40%))/'6. Aprašo scenarijus'!$C$4,0)</f>
        <v>0</v>
      </c>
      <c r="H188" s="62">
        <f t="shared" si="68"/>
        <v>0</v>
      </c>
      <c r="I188" s="62">
        <f>SUM(N$5:N$19)</f>
        <v>0</v>
      </c>
      <c r="J188" s="62" t="e" cm="1">
        <f t="array" ref="J188">K188+L188+MAX(0,-R187)*IFERROR(SUMPRODUCT(IF('2. Investicijos'!$N$5:$N$19&gt;('2. Investicijos'!$H$5:$H$19*IF('2. Investicijos'!$G$5:$G$19&lt;=35,30%,40%)),'2. Investicijos'!$N$5:$N$19-('2. Investicijos'!$H$5:$H$19*IF('2. Investicijos'!$G$5:$G$19&lt;=35,30%,40%)),0),'2. Investicijos'!$O$5:$O$19/100)/SUM(IF('2. Investicijos'!$N$5:$N$19&gt;('2. Investicijos'!$H$5:$H$19*IF('2. Investicijos'!$G$5:$G$19&lt;=35,30%,40%)),'2. Investicijos'!$N$5:$N$19-('2. Investicijos'!$H$5:$H$19*IF('2. Investicijos'!$G$5:$G$19&lt;=35,30%,40%)),0)),0)</f>
        <v>#VALUE!</v>
      </c>
      <c r="K188" s="62">
        <f>SUM(AH$5:AH$19)</f>
        <v>0</v>
      </c>
      <c r="L188" s="62">
        <f>SUM(X$5:X$19)</f>
        <v>0</v>
      </c>
      <c r="M188" s="62">
        <f>SUM(AR$5:AR$19)</f>
        <v>0</v>
      </c>
      <c r="N188" s="62">
        <f>'3. Finansinės prielaidos'!K30+M188</f>
        <v>0</v>
      </c>
      <c r="O188" s="62">
        <f>'3. Finansinės prielaidos'!K31</f>
        <v>0</v>
      </c>
      <c r="P188" s="62">
        <f>'3. Finansinės prielaidos'!K32</f>
        <v>0</v>
      </c>
      <c r="Q188" s="62" t="e">
        <f t="shared" si="69"/>
        <v>#VALUE!</v>
      </c>
      <c r="R188" s="62" t="e">
        <f>R187+('3. Finansinės prielaidos'!K31-'3. Finansinės prielaidos'!J31)+Q188</f>
        <v>#VALUE!</v>
      </c>
      <c r="S188" s="62" t="e" cm="1">
        <f t="array" ref="S188">SUMPRODUCT(--(2034&gt;'2. Investicijos'!$F$5:$F$19),--(2034&lt;='2. Investicijos'!$F$5:$F$19+'2. Investicijos'!$G$5:$G$19),IFERROR(('2. Investicijos'!$M$5:$M$19+IF('2. Investicijos'!$N$5:$N$19&gt;('2. Investicijos'!$H$5:$H$19*IF('2. Investicijos'!$G$5:$G$19&lt;=35,30%,40%)),'2. Investicijos'!$N$5:$N$19-('2. Investicijos'!$H$5:$H$19*IF('2. Investicijos'!$G$5:$G$19&lt;=35,30%,40%)),0)+('2. Investicijos'!$H$5:$H$19*IF('2. Investicijos'!$G$5:$G$19&lt;=35,30%,40%)))/'2. Investicijos'!$G$5:$G$19,0))+SUMPRODUCT(--(2034&gt;'2. Investicijos'!$F$5:$F$19),--(2034&lt;='2. Investicijos'!$F$5:$F$19+'2. Investicijos'!$G$5:$G$19),IFERROR(('2. Investicijos'!$M$5:$M$19+IF('2. Investicijos'!$N$5:$N$19&gt;('2. Investicijos'!$H$5:$H$19*IF('2. Investicijos'!$G$5:$G$19&lt;=35,30%,40%)),'2. Investicijos'!$N$5:$N$19-('2. Investicijos'!$H$5:$H$19*IF('2. Investicijos'!$G$5:$G$19&lt;=35,30%,40%)),0))*(1-((2034-'2. Investicijos'!$F$5:$F$19)-1)/'2. Investicijos'!$G$5:$G$19),0)*'5. 0% scenarijus'!$C$5)</f>
        <v>#VALUE!</v>
      </c>
      <c r="T188" s="62" t="e">
        <f>'3. Finansinės prielaidos'!K29+S188+G188</f>
        <v>#VALUE!</v>
      </c>
      <c r="U188" s="62" t="e">
        <f t="shared" si="70"/>
        <v>#VALUE!</v>
      </c>
      <c r="V188" s="72" t="e">
        <f t="shared" si="71"/>
        <v>#VALUE!</v>
      </c>
      <c r="W188" s="72" t="e">
        <f t="shared" si="72"/>
        <v>#VALUE!</v>
      </c>
      <c r="X188" s="57" t="e">
        <f t="shared" si="73"/>
        <v>#VALUE!</v>
      </c>
      <c r="Y188" s="57" t="e">
        <f t="shared" si="74"/>
        <v>#VALUE!</v>
      </c>
      <c r="Z188" s="57"/>
      <c r="AA188" s="57"/>
      <c r="AB188" s="57"/>
      <c r="AC188" s="57"/>
      <c r="AD188" s="57"/>
      <c r="AE188" s="57"/>
      <c r="AF188" s="57"/>
      <c r="AG188" s="57"/>
      <c r="AH188" s="57"/>
      <c r="AI188" s="57"/>
      <c r="AJ188" s="57"/>
      <c r="AK188" s="57"/>
      <c r="AL188" s="57"/>
      <c r="AM188" s="57"/>
      <c r="AN188" s="57"/>
      <c r="AO188" s="57"/>
      <c r="AP188" s="57"/>
      <c r="AQ188" s="57"/>
      <c r="AR188" s="57"/>
      <c r="AS188" s="57"/>
    </row>
    <row r="189" spans="1:45">
      <c r="A189" s="57">
        <v>15</v>
      </c>
      <c r="B189" s="57">
        <v>2035</v>
      </c>
      <c r="C189" s="62">
        <f>SUM('4. Metinis CAPEX'!O$9:O$23)</f>
        <v>0</v>
      </c>
      <c r="D189" s="62" cm="1">
        <f t="array" ref="D189">SUMPRODUCT('4. Metinis CAPEX'!O$9:O$23,IFERROR('2. Investicijos'!$N$5:$N$19/'2. Investicijos'!$H$5:$H$19,0))</f>
        <v>0</v>
      </c>
      <c r="E189" s="62" cm="1">
        <f t="array" ref="E189">SUMPRODUCT('4. Metinis CAPEX'!O$9:O$23,IFERROR(('2. Investicijos'!$I$5:$I$19+'2. Investicijos'!$J$5:$J$19+'2. Investicijos'!$K$5:$K$19+'2. Investicijos'!$L$5:$L$19)/'2. Investicijos'!$H$5:$H$19,0))</f>
        <v>0</v>
      </c>
      <c r="F189" s="62" cm="1">
        <f t="array" ref="F189">SUM('2. Investicijos'!$H$5:$H$19*IF('2. Investicijos'!$G$5:$G$19&lt;=35,30%,40%))</f>
        <v>0</v>
      </c>
      <c r="G189" s="62" cm="1">
        <f t="array" ref="G189">IF(AND(2035&gt;=2026,2035&lt;2026+'6. Aprašo scenarijus'!$C$4),SUM('2. Investicijos'!$H$5:$H$19*IF('2. Investicijos'!$G$5:$G$19&lt;=35,30%,40%))/'6. Aprašo scenarijus'!$C$4,0)</f>
        <v>0</v>
      </c>
      <c r="H189" s="62">
        <f t="shared" si="68"/>
        <v>0</v>
      </c>
      <c r="I189" s="62">
        <f>SUM(O$5:O$19)</f>
        <v>0</v>
      </c>
      <c r="J189" s="62" t="e" cm="1">
        <f t="array" ref="J189">K189+L189+MAX(0,-R188)*IFERROR(SUMPRODUCT(IF('2. Investicijos'!$N$5:$N$19&gt;('2. Investicijos'!$H$5:$H$19*IF('2. Investicijos'!$G$5:$G$19&lt;=35,30%,40%)),'2. Investicijos'!$N$5:$N$19-('2. Investicijos'!$H$5:$H$19*IF('2. Investicijos'!$G$5:$G$19&lt;=35,30%,40%)),0),'2. Investicijos'!$O$5:$O$19/100)/SUM(IF('2. Investicijos'!$N$5:$N$19&gt;('2. Investicijos'!$H$5:$H$19*IF('2. Investicijos'!$G$5:$G$19&lt;=35,30%,40%)),'2. Investicijos'!$N$5:$N$19-('2. Investicijos'!$H$5:$H$19*IF('2. Investicijos'!$G$5:$G$19&lt;=35,30%,40%)),0)),0)</f>
        <v>#VALUE!</v>
      </c>
      <c r="K189" s="62">
        <f>SUM(AI$5:AI$19)</f>
        <v>0</v>
      </c>
      <c r="L189" s="62">
        <f>SUM(Y$5:Y$19)</f>
        <v>0</v>
      </c>
      <c r="M189" s="62">
        <f>SUM(AS$5:AS$19)</f>
        <v>0</v>
      </c>
      <c r="N189" s="62">
        <f>'3. Finansinės prielaidos'!L30+M189</f>
        <v>0</v>
      </c>
      <c r="O189" s="62">
        <f>'3. Finansinės prielaidos'!L31</f>
        <v>0</v>
      </c>
      <c r="P189" s="62">
        <f>'3. Finansinės prielaidos'!L32</f>
        <v>0</v>
      </c>
      <c r="Q189" s="62" t="e">
        <f t="shared" si="69"/>
        <v>#VALUE!</v>
      </c>
      <c r="R189" s="62" t="e">
        <f>R188+('3. Finansinės prielaidos'!L31-'3. Finansinės prielaidos'!K31)+Q189</f>
        <v>#VALUE!</v>
      </c>
      <c r="S189" s="62" t="e" cm="1">
        <f t="array" ref="S189">SUMPRODUCT(--(2035&gt;'2. Investicijos'!$F$5:$F$19),--(2035&lt;='2. Investicijos'!$F$5:$F$19+'2. Investicijos'!$G$5:$G$19),IFERROR(('2. Investicijos'!$M$5:$M$19+IF('2. Investicijos'!$N$5:$N$19&gt;('2. Investicijos'!$H$5:$H$19*IF('2. Investicijos'!$G$5:$G$19&lt;=35,30%,40%)),'2. Investicijos'!$N$5:$N$19-('2. Investicijos'!$H$5:$H$19*IF('2. Investicijos'!$G$5:$G$19&lt;=35,30%,40%)),0)+('2. Investicijos'!$H$5:$H$19*IF('2. Investicijos'!$G$5:$G$19&lt;=35,30%,40%)))/'2. Investicijos'!$G$5:$G$19,0))+SUMPRODUCT(--(2035&gt;'2. Investicijos'!$F$5:$F$19),--(2035&lt;='2. Investicijos'!$F$5:$F$19+'2. Investicijos'!$G$5:$G$19),IFERROR(('2. Investicijos'!$M$5:$M$19+IF('2. Investicijos'!$N$5:$N$19&gt;('2. Investicijos'!$H$5:$H$19*IF('2. Investicijos'!$G$5:$G$19&lt;=35,30%,40%)),'2. Investicijos'!$N$5:$N$19-('2. Investicijos'!$H$5:$H$19*IF('2. Investicijos'!$G$5:$G$19&lt;=35,30%,40%)),0))*(1-((2035-'2. Investicijos'!$F$5:$F$19)-1)/'2. Investicijos'!$G$5:$G$19),0)*'5. 0% scenarijus'!$C$5)</f>
        <v>#VALUE!</v>
      </c>
      <c r="T189" s="62" t="e">
        <f>'3. Finansinės prielaidos'!L29+S189+G189</f>
        <v>#VALUE!</v>
      </c>
      <c r="U189" s="62" t="e">
        <f t="shared" si="70"/>
        <v>#VALUE!</v>
      </c>
      <c r="V189" s="72" t="e">
        <f t="shared" si="71"/>
        <v>#VALUE!</v>
      </c>
      <c r="W189" s="72" t="e">
        <f t="shared" si="72"/>
        <v>#VALUE!</v>
      </c>
      <c r="X189" s="57" t="e">
        <f t="shared" si="73"/>
        <v>#VALUE!</v>
      </c>
      <c r="Y189" s="57" t="e">
        <f t="shared" si="74"/>
        <v>#VALUE!</v>
      </c>
      <c r="Z189" s="57"/>
      <c r="AA189" s="57"/>
      <c r="AB189" s="57"/>
      <c r="AC189" s="57"/>
      <c r="AD189" s="57"/>
      <c r="AE189" s="57"/>
      <c r="AF189" s="57"/>
      <c r="AG189" s="57"/>
      <c r="AH189" s="57"/>
      <c r="AI189" s="57"/>
      <c r="AJ189" s="57"/>
      <c r="AK189" s="57"/>
      <c r="AL189" s="57"/>
      <c r="AM189" s="57"/>
      <c r="AN189" s="57"/>
      <c r="AO189" s="57"/>
      <c r="AP189" s="57"/>
      <c r="AQ189" s="57"/>
      <c r="AR189" s="57"/>
      <c r="AS189" s="57"/>
    </row>
    <row r="190" spans="1:45">
      <c r="A190" s="57">
        <v>16</v>
      </c>
      <c r="B190" s="57">
        <v>2026</v>
      </c>
      <c r="C190" s="62">
        <f>SUM('4. Metinis CAPEX'!F$9:F$24)</f>
        <v>0</v>
      </c>
      <c r="D190" s="62" cm="1">
        <f t="array" ref="D190">SUMPRODUCT('4. Metinis CAPEX'!F$9:F$24,IFERROR('2. Investicijos'!$N$5:$N$20/'2. Investicijos'!$H$5:$H$20,0))</f>
        <v>0</v>
      </c>
      <c r="E190" s="62" cm="1">
        <f t="array" ref="E190">SUMPRODUCT('4. Metinis CAPEX'!F$9:F$24,IFERROR(('2. Investicijos'!$I$5:$I$20+'2. Investicijos'!$J$5:$J$20+'2. Investicijos'!$K$5:$K$20+'2. Investicijos'!$L$5:$L$20)/'2. Investicijos'!$H$5:$H$20,0))</f>
        <v>0</v>
      </c>
      <c r="F190" s="62" cm="1">
        <f t="array" ref="F190">SUM('2. Investicijos'!$H$5:$H$20*IF('2. Investicijos'!$G$5:$G$20&lt;=35,30%,40%))</f>
        <v>0</v>
      </c>
      <c r="G190" s="62" cm="1">
        <f t="array" ref="G190">IF(AND(2026&gt;=2026,2026&lt;2026+'6. Aprašo scenarijus'!$C$4),SUM('2. Investicijos'!$H$5:$H$20*IF('2. Investicijos'!$G$5:$G$20&lt;=35,30%,40%))/'6. Aprašo scenarijus'!$C$4,0)</f>
        <v>0</v>
      </c>
      <c r="H190" s="62">
        <f t="shared" si="68"/>
        <v>0</v>
      </c>
      <c r="I190" s="62">
        <f>SUM(F$5:F$20)</f>
        <v>0</v>
      </c>
      <c r="J190" s="62">
        <f>0</f>
        <v>0</v>
      </c>
      <c r="K190" s="62">
        <f>SUM(Z$5:Z$20)</f>
        <v>0</v>
      </c>
      <c r="L190" s="62">
        <f>SUM(P$5:P$20)</f>
        <v>0</v>
      </c>
      <c r="M190" s="62">
        <f>SUM(AJ$5:AJ$20)</f>
        <v>0</v>
      </c>
      <c r="N190" s="62">
        <f>'3. Finansinės prielaidos'!C30+M190</f>
        <v>0</v>
      </c>
      <c r="O190" s="62">
        <f>'3. Finansinės prielaidos'!C31</f>
        <v>0</v>
      </c>
      <c r="P190" s="62">
        <f>'3. Finansinės prielaidos'!C32</f>
        <v>0</v>
      </c>
      <c r="Q190" s="62" t="e">
        <f t="shared" si="69"/>
        <v>#VALUE!</v>
      </c>
      <c r="R190" s="62" t="e">
        <f>O190+Q190</f>
        <v>#VALUE!</v>
      </c>
      <c r="S190" s="62" t="e" cm="1">
        <f t="array" ref="S190">SUMPRODUCT(--(2026&gt;'2. Investicijos'!$F$5:$F$20),--(2026&lt;='2. Investicijos'!$F$5:$F$20+'2. Investicijos'!$G$5:$G$20),IFERROR(('2. Investicijos'!$M$5:$M$20+IF('2. Investicijos'!$N$5:$N$20&gt;('2. Investicijos'!$H$5:$H$20*IF('2. Investicijos'!$G$5:$G$20&lt;=35,30%,40%)),'2. Investicijos'!$N$5:$N$20-('2. Investicijos'!$H$5:$H$20*IF('2. Investicijos'!$G$5:$G$20&lt;=35,30%,40%)),0)+('2. Investicijos'!$H$5:$H$20*IF('2. Investicijos'!$G$5:$G$20&lt;=35,30%,40%)))/'2. Investicijos'!$G$5:$G$20,0))+SUMPRODUCT(--(2026&gt;'2. Investicijos'!$F$5:$F$20),--(2026&lt;='2. Investicijos'!$F$5:$F$20+'2. Investicijos'!$G$5:$G$20),IFERROR(('2. Investicijos'!$M$5:$M$20+IF('2. Investicijos'!$N$5:$N$20&gt;('2. Investicijos'!$H$5:$H$20*IF('2. Investicijos'!$G$5:$G$20&lt;=35,30%,40%)),'2. Investicijos'!$N$5:$N$20-('2. Investicijos'!$H$5:$H$20*IF('2. Investicijos'!$G$5:$G$20&lt;=35,30%,40%)),0))*(1-((2026-'2. Investicijos'!$F$5:$F$20)-1)/'2. Investicijos'!$G$5:$G$20),0)*'5. 0% scenarijus'!$C$5)</f>
        <v>#VALUE!</v>
      </c>
      <c r="T190" s="62" t="e">
        <f>'3. Finansinės prielaidos'!C29+S190+G190</f>
        <v>#VALUE!</v>
      </c>
      <c r="U190" s="62" t="e">
        <f t="shared" si="70"/>
        <v>#VALUE!</v>
      </c>
      <c r="V190" s="72" t="e">
        <f t="shared" si="71"/>
        <v>#VALUE!</v>
      </c>
      <c r="W190" s="72" t="e">
        <f t="shared" si="72"/>
        <v>#VALUE!</v>
      </c>
      <c r="X190" s="57" t="e">
        <f t="shared" si="73"/>
        <v>#VALUE!</v>
      </c>
      <c r="Y190" s="57" t="e">
        <f t="shared" si="74"/>
        <v>#VALUE!</v>
      </c>
      <c r="Z190" s="57"/>
      <c r="AA190" s="57"/>
      <c r="AB190" s="57"/>
      <c r="AC190" s="57"/>
      <c r="AD190" s="57"/>
      <c r="AE190" s="57"/>
      <c r="AF190" s="57"/>
      <c r="AG190" s="57"/>
      <c r="AH190" s="57"/>
      <c r="AI190" s="57"/>
      <c r="AJ190" s="57"/>
      <c r="AK190" s="57"/>
      <c r="AL190" s="57"/>
      <c r="AM190" s="57"/>
      <c r="AN190" s="57"/>
      <c r="AO190" s="57"/>
      <c r="AP190" s="57"/>
      <c r="AQ190" s="57"/>
      <c r="AR190" s="57"/>
      <c r="AS190" s="57"/>
    </row>
    <row r="191" spans="1:45">
      <c r="A191" s="57">
        <v>16</v>
      </c>
      <c r="B191" s="57">
        <v>2027</v>
      </c>
      <c r="C191" s="62">
        <f>SUM('4. Metinis CAPEX'!G$9:G$24)</f>
        <v>0</v>
      </c>
      <c r="D191" s="62" cm="1">
        <f t="array" ref="D191">SUMPRODUCT('4. Metinis CAPEX'!G$9:G$24,IFERROR('2. Investicijos'!$N$5:$N$20/'2. Investicijos'!$H$5:$H$20,0))</f>
        <v>0</v>
      </c>
      <c r="E191" s="62" cm="1">
        <f t="array" ref="E191">SUMPRODUCT('4. Metinis CAPEX'!G$9:G$24,IFERROR(('2. Investicijos'!$I$5:$I$20+'2. Investicijos'!$J$5:$J$20+'2. Investicijos'!$K$5:$K$20+'2. Investicijos'!$L$5:$L$20)/'2. Investicijos'!$H$5:$H$20,0))</f>
        <v>0</v>
      </c>
      <c r="F191" s="62" cm="1">
        <f t="array" ref="F191">SUM('2. Investicijos'!$H$5:$H$20*IF('2. Investicijos'!$G$5:$G$20&lt;=35,30%,40%))</f>
        <v>0</v>
      </c>
      <c r="G191" s="62" cm="1">
        <f t="array" ref="G191">IF(AND(2027&gt;=2026,2027&lt;2026+'6. Aprašo scenarijus'!$C$4),SUM('2. Investicijos'!$H$5:$H$20*IF('2. Investicijos'!$G$5:$G$20&lt;=35,30%,40%))/'6. Aprašo scenarijus'!$C$4,0)</f>
        <v>0</v>
      </c>
      <c r="H191" s="62">
        <f t="shared" si="68"/>
        <v>0</v>
      </c>
      <c r="I191" s="62">
        <f>SUM(G$5:G$20)</f>
        <v>0</v>
      </c>
      <c r="J191" s="62" t="e" cm="1">
        <f t="array" ref="J191">K191+L191+MAX(0,-R190)*IFERROR(SUMPRODUCT(IF('2. Investicijos'!$N$5:$N$20&gt;('2. Investicijos'!$H$5:$H$20*IF('2. Investicijos'!$G$5:$G$20&lt;=35,30%,40%)),'2. Investicijos'!$N$5:$N$20-('2. Investicijos'!$H$5:$H$20*IF('2. Investicijos'!$G$5:$G$20&lt;=35,30%,40%)),0),'2. Investicijos'!$O$5:$O$20/100)/SUM(IF('2. Investicijos'!$N$5:$N$20&gt;('2. Investicijos'!$H$5:$H$20*IF('2. Investicijos'!$G$5:$G$20&lt;=35,30%,40%)),'2. Investicijos'!$N$5:$N$20-('2. Investicijos'!$H$5:$H$20*IF('2. Investicijos'!$G$5:$G$20&lt;=35,30%,40%)),0)),0)</f>
        <v>#VALUE!</v>
      </c>
      <c r="K191" s="62">
        <f>SUM(AA$5:AA$20)</f>
        <v>0</v>
      </c>
      <c r="L191" s="62">
        <f>SUM(Q$5:Q$20)</f>
        <v>0</v>
      </c>
      <c r="M191" s="62">
        <f>SUM(AK$5:AK$20)</f>
        <v>0</v>
      </c>
      <c r="N191" s="62">
        <f>'3. Finansinės prielaidos'!D30+M191</f>
        <v>0</v>
      </c>
      <c r="O191" s="62">
        <f>'3. Finansinės prielaidos'!D31</f>
        <v>0</v>
      </c>
      <c r="P191" s="62">
        <f>'3. Finansinės prielaidos'!D32</f>
        <v>0</v>
      </c>
      <c r="Q191" s="62" t="e">
        <f t="shared" si="69"/>
        <v>#VALUE!</v>
      </c>
      <c r="R191" s="62" t="e">
        <f>R190+('3. Finansinės prielaidos'!D31-'3. Finansinės prielaidos'!C31)+Q191</f>
        <v>#VALUE!</v>
      </c>
      <c r="S191" s="62" t="e" cm="1">
        <f t="array" ref="S191">SUMPRODUCT(--(2027&gt;'2. Investicijos'!$F$5:$F$20),--(2027&lt;='2. Investicijos'!$F$5:$F$20+'2. Investicijos'!$G$5:$G$20),IFERROR(('2. Investicijos'!$M$5:$M$20+IF('2. Investicijos'!$N$5:$N$20&gt;('2. Investicijos'!$H$5:$H$20*IF('2. Investicijos'!$G$5:$G$20&lt;=35,30%,40%)),'2. Investicijos'!$N$5:$N$20-('2. Investicijos'!$H$5:$H$20*IF('2. Investicijos'!$G$5:$G$20&lt;=35,30%,40%)),0)+('2. Investicijos'!$H$5:$H$20*IF('2. Investicijos'!$G$5:$G$20&lt;=35,30%,40%)))/'2. Investicijos'!$G$5:$G$20,0))+SUMPRODUCT(--(2027&gt;'2. Investicijos'!$F$5:$F$20),--(2027&lt;='2. Investicijos'!$F$5:$F$20+'2. Investicijos'!$G$5:$G$20),IFERROR(('2. Investicijos'!$M$5:$M$20+IF('2. Investicijos'!$N$5:$N$20&gt;('2. Investicijos'!$H$5:$H$20*IF('2. Investicijos'!$G$5:$G$20&lt;=35,30%,40%)),'2. Investicijos'!$N$5:$N$20-('2. Investicijos'!$H$5:$H$20*IF('2. Investicijos'!$G$5:$G$20&lt;=35,30%,40%)),0))*(1-((2027-'2. Investicijos'!$F$5:$F$20)-1)/'2. Investicijos'!$G$5:$G$20),0)*'5. 0% scenarijus'!$C$5)</f>
        <v>#VALUE!</v>
      </c>
      <c r="T191" s="62" t="e">
        <f>'3. Finansinės prielaidos'!D29+S191+G191</f>
        <v>#VALUE!</v>
      </c>
      <c r="U191" s="62" t="e">
        <f t="shared" si="70"/>
        <v>#VALUE!</v>
      </c>
      <c r="V191" s="72" t="e">
        <f t="shared" si="71"/>
        <v>#VALUE!</v>
      </c>
      <c r="W191" s="72" t="e">
        <f t="shared" si="72"/>
        <v>#VALUE!</v>
      </c>
      <c r="X191" s="57" t="e">
        <f t="shared" si="73"/>
        <v>#VALUE!</v>
      </c>
      <c r="Y191" s="57" t="e">
        <f t="shared" si="74"/>
        <v>#VALUE!</v>
      </c>
      <c r="Z191" s="57"/>
      <c r="AA191" s="57"/>
      <c r="AB191" s="57"/>
      <c r="AC191" s="57"/>
      <c r="AD191" s="57"/>
      <c r="AE191" s="57"/>
      <c r="AF191" s="57"/>
      <c r="AG191" s="57"/>
      <c r="AH191" s="57"/>
      <c r="AI191" s="57"/>
      <c r="AJ191" s="57"/>
      <c r="AK191" s="57"/>
      <c r="AL191" s="57"/>
      <c r="AM191" s="57"/>
      <c r="AN191" s="57"/>
      <c r="AO191" s="57"/>
      <c r="AP191" s="57"/>
      <c r="AQ191" s="57"/>
      <c r="AR191" s="57"/>
      <c r="AS191" s="57"/>
    </row>
    <row r="192" spans="1:45">
      <c r="A192" s="57">
        <v>16</v>
      </c>
      <c r="B192" s="57">
        <v>2028</v>
      </c>
      <c r="C192" s="62">
        <f>SUM('4. Metinis CAPEX'!H$9:H$24)</f>
        <v>0</v>
      </c>
      <c r="D192" s="62" cm="1">
        <f t="array" ref="D192">SUMPRODUCT('4. Metinis CAPEX'!H$9:H$24,IFERROR('2. Investicijos'!$N$5:$N$20/'2. Investicijos'!$H$5:$H$20,0))</f>
        <v>0</v>
      </c>
      <c r="E192" s="62" cm="1">
        <f t="array" ref="E192">SUMPRODUCT('4. Metinis CAPEX'!H$9:H$24,IFERROR(('2. Investicijos'!$I$5:$I$20+'2. Investicijos'!$J$5:$J$20+'2. Investicijos'!$K$5:$K$20+'2. Investicijos'!$L$5:$L$20)/'2. Investicijos'!$H$5:$H$20,0))</f>
        <v>0</v>
      </c>
      <c r="F192" s="62" cm="1">
        <f t="array" ref="F192">SUM('2. Investicijos'!$H$5:$H$20*IF('2. Investicijos'!$G$5:$G$20&lt;=35,30%,40%))</f>
        <v>0</v>
      </c>
      <c r="G192" s="62" cm="1">
        <f t="array" ref="G192">IF(AND(2028&gt;=2026,2028&lt;2026+'6. Aprašo scenarijus'!$C$4),SUM('2. Investicijos'!$H$5:$H$20*IF('2. Investicijos'!$G$5:$G$20&lt;=35,30%,40%))/'6. Aprašo scenarijus'!$C$4,0)</f>
        <v>0</v>
      </c>
      <c r="H192" s="62">
        <f t="shared" si="68"/>
        <v>0</v>
      </c>
      <c r="I192" s="62">
        <f>SUM(H$5:H$20)</f>
        <v>0</v>
      </c>
      <c r="J192" s="62" t="e" cm="1">
        <f t="array" ref="J192">K192+L192+MAX(0,-R191)*IFERROR(SUMPRODUCT(IF('2. Investicijos'!$N$5:$N$20&gt;('2. Investicijos'!$H$5:$H$20*IF('2. Investicijos'!$G$5:$G$20&lt;=35,30%,40%)),'2. Investicijos'!$N$5:$N$20-('2. Investicijos'!$H$5:$H$20*IF('2. Investicijos'!$G$5:$G$20&lt;=35,30%,40%)),0),'2. Investicijos'!$O$5:$O$20/100)/SUM(IF('2. Investicijos'!$N$5:$N$20&gt;('2. Investicijos'!$H$5:$H$20*IF('2. Investicijos'!$G$5:$G$20&lt;=35,30%,40%)),'2. Investicijos'!$N$5:$N$20-('2. Investicijos'!$H$5:$H$20*IF('2. Investicijos'!$G$5:$G$20&lt;=35,30%,40%)),0)),0)</f>
        <v>#VALUE!</v>
      </c>
      <c r="K192" s="62">
        <f>SUM(AB$5:AB$20)</f>
        <v>0</v>
      </c>
      <c r="L192" s="62">
        <f>SUM(R$5:R$20)</f>
        <v>0</v>
      </c>
      <c r="M192" s="62">
        <f>SUM(AL$5:AL$20)</f>
        <v>0</v>
      </c>
      <c r="N192" s="62">
        <f>'3. Finansinės prielaidos'!E30+M192</f>
        <v>0</v>
      </c>
      <c r="O192" s="62">
        <f>'3. Finansinės prielaidos'!E31</f>
        <v>0</v>
      </c>
      <c r="P192" s="62">
        <f>'3. Finansinės prielaidos'!E32</f>
        <v>0</v>
      </c>
      <c r="Q192" s="62" t="e">
        <f t="shared" si="69"/>
        <v>#VALUE!</v>
      </c>
      <c r="R192" s="62" t="e">
        <f>R191+('3. Finansinės prielaidos'!E31-'3. Finansinės prielaidos'!D31)+Q192</f>
        <v>#VALUE!</v>
      </c>
      <c r="S192" s="62" t="e" cm="1">
        <f t="array" ref="S192">SUMPRODUCT(--(2028&gt;'2. Investicijos'!$F$5:$F$20),--(2028&lt;='2. Investicijos'!$F$5:$F$20+'2. Investicijos'!$G$5:$G$20),IFERROR(('2. Investicijos'!$M$5:$M$20+IF('2. Investicijos'!$N$5:$N$20&gt;('2. Investicijos'!$H$5:$H$20*IF('2. Investicijos'!$G$5:$G$20&lt;=35,30%,40%)),'2. Investicijos'!$N$5:$N$20-('2. Investicijos'!$H$5:$H$20*IF('2. Investicijos'!$G$5:$G$20&lt;=35,30%,40%)),0)+('2. Investicijos'!$H$5:$H$20*IF('2. Investicijos'!$G$5:$G$20&lt;=35,30%,40%)))/'2. Investicijos'!$G$5:$G$20,0))+SUMPRODUCT(--(2028&gt;'2. Investicijos'!$F$5:$F$20),--(2028&lt;='2. Investicijos'!$F$5:$F$20+'2. Investicijos'!$G$5:$G$20),IFERROR(('2. Investicijos'!$M$5:$M$20+IF('2. Investicijos'!$N$5:$N$20&gt;('2. Investicijos'!$H$5:$H$20*IF('2. Investicijos'!$G$5:$G$20&lt;=35,30%,40%)),'2. Investicijos'!$N$5:$N$20-('2. Investicijos'!$H$5:$H$20*IF('2. Investicijos'!$G$5:$G$20&lt;=35,30%,40%)),0))*(1-((2028-'2. Investicijos'!$F$5:$F$20)-1)/'2. Investicijos'!$G$5:$G$20),0)*'5. 0% scenarijus'!$C$5)</f>
        <v>#VALUE!</v>
      </c>
      <c r="T192" s="62" t="e">
        <f>'3. Finansinės prielaidos'!E29+S192+G192</f>
        <v>#VALUE!</v>
      </c>
      <c r="U192" s="62" t="e">
        <f t="shared" si="70"/>
        <v>#VALUE!</v>
      </c>
      <c r="V192" s="72" t="e">
        <f t="shared" si="71"/>
        <v>#VALUE!</v>
      </c>
      <c r="W192" s="72" t="e">
        <f t="shared" si="72"/>
        <v>#VALUE!</v>
      </c>
      <c r="X192" s="57" t="e">
        <f t="shared" si="73"/>
        <v>#VALUE!</v>
      </c>
      <c r="Y192" s="57" t="e">
        <f t="shared" si="74"/>
        <v>#VALUE!</v>
      </c>
      <c r="Z192" s="57"/>
      <c r="AA192" s="57"/>
      <c r="AB192" s="57"/>
      <c r="AC192" s="57"/>
      <c r="AD192" s="57"/>
      <c r="AE192" s="57"/>
      <c r="AF192" s="57"/>
      <c r="AG192" s="57"/>
      <c r="AH192" s="57"/>
      <c r="AI192" s="57"/>
      <c r="AJ192" s="57"/>
      <c r="AK192" s="57"/>
      <c r="AL192" s="57"/>
      <c r="AM192" s="57"/>
      <c r="AN192" s="57"/>
      <c r="AO192" s="57"/>
      <c r="AP192" s="57"/>
      <c r="AQ192" s="57"/>
      <c r="AR192" s="57"/>
      <c r="AS192" s="57"/>
    </row>
    <row r="193" spans="1:45">
      <c r="A193" s="57">
        <v>16</v>
      </c>
      <c r="B193" s="57">
        <v>2029</v>
      </c>
      <c r="C193" s="62">
        <f>SUM('4. Metinis CAPEX'!I$9:I$24)</f>
        <v>0</v>
      </c>
      <c r="D193" s="62" cm="1">
        <f t="array" ref="D193">SUMPRODUCT('4. Metinis CAPEX'!I$9:I$24,IFERROR('2. Investicijos'!$N$5:$N$20/'2. Investicijos'!$H$5:$H$20,0))</f>
        <v>0</v>
      </c>
      <c r="E193" s="62" cm="1">
        <f t="array" ref="E193">SUMPRODUCT('4. Metinis CAPEX'!I$9:I$24,IFERROR(('2. Investicijos'!$I$5:$I$20+'2. Investicijos'!$J$5:$J$20+'2. Investicijos'!$K$5:$K$20+'2. Investicijos'!$L$5:$L$20)/'2. Investicijos'!$H$5:$H$20,0))</f>
        <v>0</v>
      </c>
      <c r="F193" s="62" cm="1">
        <f t="array" ref="F193">SUM('2. Investicijos'!$H$5:$H$20*IF('2. Investicijos'!$G$5:$G$20&lt;=35,30%,40%))</f>
        <v>0</v>
      </c>
      <c r="G193" s="62" cm="1">
        <f t="array" ref="G193">IF(AND(2029&gt;=2026,2029&lt;2026+'6. Aprašo scenarijus'!$C$4),SUM('2. Investicijos'!$H$5:$H$20*IF('2. Investicijos'!$G$5:$G$20&lt;=35,30%,40%))/'6. Aprašo scenarijus'!$C$4,0)</f>
        <v>0</v>
      </c>
      <c r="H193" s="62">
        <f t="shared" si="68"/>
        <v>0</v>
      </c>
      <c r="I193" s="62">
        <f>SUM(I$5:I$20)</f>
        <v>0</v>
      </c>
      <c r="J193" s="62" t="e" cm="1">
        <f t="array" ref="J193">K193+L193+MAX(0,-R192)*IFERROR(SUMPRODUCT(IF('2. Investicijos'!$N$5:$N$20&gt;('2. Investicijos'!$H$5:$H$20*IF('2. Investicijos'!$G$5:$G$20&lt;=35,30%,40%)),'2. Investicijos'!$N$5:$N$20-('2. Investicijos'!$H$5:$H$20*IF('2. Investicijos'!$G$5:$G$20&lt;=35,30%,40%)),0),'2. Investicijos'!$O$5:$O$20/100)/SUM(IF('2. Investicijos'!$N$5:$N$20&gt;('2. Investicijos'!$H$5:$H$20*IF('2. Investicijos'!$G$5:$G$20&lt;=35,30%,40%)),'2. Investicijos'!$N$5:$N$20-('2. Investicijos'!$H$5:$H$20*IF('2. Investicijos'!$G$5:$G$20&lt;=35,30%,40%)),0)),0)</f>
        <v>#VALUE!</v>
      </c>
      <c r="K193" s="62">
        <f>SUM(AC$5:AC$20)</f>
        <v>0</v>
      </c>
      <c r="L193" s="62">
        <f>SUM(S$5:S$20)</f>
        <v>0</v>
      </c>
      <c r="M193" s="62">
        <f>SUM(AM$5:AM$20)</f>
        <v>0</v>
      </c>
      <c r="N193" s="62">
        <f>'3. Finansinės prielaidos'!F30+M193</f>
        <v>0</v>
      </c>
      <c r="O193" s="62">
        <f>'3. Finansinės prielaidos'!F31</f>
        <v>0</v>
      </c>
      <c r="P193" s="62">
        <f>'3. Finansinės prielaidos'!F32</f>
        <v>0</v>
      </c>
      <c r="Q193" s="62" t="e">
        <f t="shared" si="69"/>
        <v>#VALUE!</v>
      </c>
      <c r="R193" s="62" t="e">
        <f>R192+('3. Finansinės prielaidos'!F31-'3. Finansinės prielaidos'!E31)+Q193</f>
        <v>#VALUE!</v>
      </c>
      <c r="S193" s="62" t="e" cm="1">
        <f t="array" ref="S193">SUMPRODUCT(--(2029&gt;'2. Investicijos'!$F$5:$F$20),--(2029&lt;='2. Investicijos'!$F$5:$F$20+'2. Investicijos'!$G$5:$G$20),IFERROR(('2. Investicijos'!$M$5:$M$20+IF('2. Investicijos'!$N$5:$N$20&gt;('2. Investicijos'!$H$5:$H$20*IF('2. Investicijos'!$G$5:$G$20&lt;=35,30%,40%)),'2. Investicijos'!$N$5:$N$20-('2. Investicijos'!$H$5:$H$20*IF('2. Investicijos'!$G$5:$G$20&lt;=35,30%,40%)),0)+('2. Investicijos'!$H$5:$H$20*IF('2. Investicijos'!$G$5:$G$20&lt;=35,30%,40%)))/'2. Investicijos'!$G$5:$G$20,0))+SUMPRODUCT(--(2029&gt;'2. Investicijos'!$F$5:$F$20),--(2029&lt;='2. Investicijos'!$F$5:$F$20+'2. Investicijos'!$G$5:$G$20),IFERROR(('2. Investicijos'!$M$5:$M$20+IF('2. Investicijos'!$N$5:$N$20&gt;('2. Investicijos'!$H$5:$H$20*IF('2. Investicijos'!$G$5:$G$20&lt;=35,30%,40%)),'2. Investicijos'!$N$5:$N$20-('2. Investicijos'!$H$5:$H$20*IF('2. Investicijos'!$G$5:$G$20&lt;=35,30%,40%)),0))*(1-((2029-'2. Investicijos'!$F$5:$F$20)-1)/'2. Investicijos'!$G$5:$G$20),0)*'5. 0% scenarijus'!$C$5)</f>
        <v>#VALUE!</v>
      </c>
      <c r="T193" s="62" t="e">
        <f>'3. Finansinės prielaidos'!F29+S193+G193</f>
        <v>#VALUE!</v>
      </c>
      <c r="U193" s="62" t="e">
        <f t="shared" si="70"/>
        <v>#VALUE!</v>
      </c>
      <c r="V193" s="72" t="e">
        <f t="shared" si="71"/>
        <v>#VALUE!</v>
      </c>
      <c r="W193" s="72" t="e">
        <f t="shared" si="72"/>
        <v>#VALUE!</v>
      </c>
      <c r="X193" s="57" t="e">
        <f t="shared" si="73"/>
        <v>#VALUE!</v>
      </c>
      <c r="Y193" s="57" t="e">
        <f t="shared" si="74"/>
        <v>#VALUE!</v>
      </c>
      <c r="Z193" s="57"/>
      <c r="AA193" s="57"/>
      <c r="AB193" s="57"/>
      <c r="AC193" s="57"/>
      <c r="AD193" s="57"/>
      <c r="AE193" s="57"/>
      <c r="AF193" s="57"/>
      <c r="AG193" s="57"/>
      <c r="AH193" s="57"/>
      <c r="AI193" s="57"/>
      <c r="AJ193" s="57"/>
      <c r="AK193" s="57"/>
      <c r="AL193" s="57"/>
      <c r="AM193" s="57"/>
      <c r="AN193" s="57"/>
      <c r="AO193" s="57"/>
      <c r="AP193" s="57"/>
      <c r="AQ193" s="57"/>
      <c r="AR193" s="57"/>
      <c r="AS193" s="57"/>
    </row>
    <row r="194" spans="1:45">
      <c r="A194" s="57">
        <v>16</v>
      </c>
      <c r="B194" s="57">
        <v>2030</v>
      </c>
      <c r="C194" s="62">
        <f>SUM('4. Metinis CAPEX'!J$9:J$24)</f>
        <v>0</v>
      </c>
      <c r="D194" s="62" cm="1">
        <f t="array" ref="D194">SUMPRODUCT('4. Metinis CAPEX'!J$9:J$24,IFERROR('2. Investicijos'!$N$5:$N$20/'2. Investicijos'!$H$5:$H$20,0))</f>
        <v>0</v>
      </c>
      <c r="E194" s="62" cm="1">
        <f t="array" ref="E194">SUMPRODUCT('4. Metinis CAPEX'!J$9:J$24,IFERROR(('2. Investicijos'!$I$5:$I$20+'2. Investicijos'!$J$5:$J$20+'2. Investicijos'!$K$5:$K$20+'2. Investicijos'!$L$5:$L$20)/'2. Investicijos'!$H$5:$H$20,0))</f>
        <v>0</v>
      </c>
      <c r="F194" s="62" cm="1">
        <f t="array" ref="F194">SUM('2. Investicijos'!$H$5:$H$20*IF('2. Investicijos'!$G$5:$G$20&lt;=35,30%,40%))</f>
        <v>0</v>
      </c>
      <c r="G194" s="62" cm="1">
        <f t="array" ref="G194">IF(AND(2030&gt;=2026,2030&lt;2026+'6. Aprašo scenarijus'!$C$4),SUM('2. Investicijos'!$H$5:$H$20*IF('2. Investicijos'!$G$5:$G$20&lt;=35,30%,40%))/'6. Aprašo scenarijus'!$C$4,0)</f>
        <v>0</v>
      </c>
      <c r="H194" s="62">
        <f t="shared" si="68"/>
        <v>0</v>
      </c>
      <c r="I194" s="62">
        <f>SUM(J$5:J$20)</f>
        <v>0</v>
      </c>
      <c r="J194" s="62" t="e" cm="1">
        <f t="array" ref="J194">K194+L194+MAX(0,-R193)*IFERROR(SUMPRODUCT(IF('2. Investicijos'!$N$5:$N$20&gt;('2. Investicijos'!$H$5:$H$20*IF('2. Investicijos'!$G$5:$G$20&lt;=35,30%,40%)),'2. Investicijos'!$N$5:$N$20-('2. Investicijos'!$H$5:$H$20*IF('2. Investicijos'!$G$5:$G$20&lt;=35,30%,40%)),0),'2. Investicijos'!$O$5:$O$20/100)/SUM(IF('2. Investicijos'!$N$5:$N$20&gt;('2. Investicijos'!$H$5:$H$20*IF('2. Investicijos'!$G$5:$G$20&lt;=35,30%,40%)),'2. Investicijos'!$N$5:$N$20-('2. Investicijos'!$H$5:$H$20*IF('2. Investicijos'!$G$5:$G$20&lt;=35,30%,40%)),0)),0)</f>
        <v>#VALUE!</v>
      </c>
      <c r="K194" s="62">
        <f>SUM(AD$5:AD$20)</f>
        <v>0</v>
      </c>
      <c r="L194" s="62">
        <f>SUM(T$5:T$20)</f>
        <v>0</v>
      </c>
      <c r="M194" s="62">
        <f>SUM(AN$5:AN$20)</f>
        <v>0</v>
      </c>
      <c r="N194" s="62">
        <f>'3. Finansinės prielaidos'!G30+M194</f>
        <v>0</v>
      </c>
      <c r="O194" s="62">
        <f>'3. Finansinės prielaidos'!G31</f>
        <v>0</v>
      </c>
      <c r="P194" s="62">
        <f>'3. Finansinės prielaidos'!G32</f>
        <v>0</v>
      </c>
      <c r="Q194" s="62" t="e">
        <f t="shared" si="69"/>
        <v>#VALUE!</v>
      </c>
      <c r="R194" s="62" t="e">
        <f>R193+('3. Finansinės prielaidos'!G31-'3. Finansinės prielaidos'!F31)+Q194</f>
        <v>#VALUE!</v>
      </c>
      <c r="S194" s="62" t="e" cm="1">
        <f t="array" ref="S194">SUMPRODUCT(--(2030&gt;'2. Investicijos'!$F$5:$F$20),--(2030&lt;='2. Investicijos'!$F$5:$F$20+'2. Investicijos'!$G$5:$G$20),IFERROR(('2. Investicijos'!$M$5:$M$20+IF('2. Investicijos'!$N$5:$N$20&gt;('2. Investicijos'!$H$5:$H$20*IF('2. Investicijos'!$G$5:$G$20&lt;=35,30%,40%)),'2. Investicijos'!$N$5:$N$20-('2. Investicijos'!$H$5:$H$20*IF('2. Investicijos'!$G$5:$G$20&lt;=35,30%,40%)),0)+('2. Investicijos'!$H$5:$H$20*IF('2. Investicijos'!$G$5:$G$20&lt;=35,30%,40%)))/'2. Investicijos'!$G$5:$G$20,0))+SUMPRODUCT(--(2030&gt;'2. Investicijos'!$F$5:$F$20),--(2030&lt;='2. Investicijos'!$F$5:$F$20+'2. Investicijos'!$G$5:$G$20),IFERROR(('2. Investicijos'!$M$5:$M$20+IF('2. Investicijos'!$N$5:$N$20&gt;('2. Investicijos'!$H$5:$H$20*IF('2. Investicijos'!$G$5:$G$20&lt;=35,30%,40%)),'2. Investicijos'!$N$5:$N$20-('2. Investicijos'!$H$5:$H$20*IF('2. Investicijos'!$G$5:$G$20&lt;=35,30%,40%)),0))*(1-((2030-'2. Investicijos'!$F$5:$F$20)-1)/'2. Investicijos'!$G$5:$G$20),0)*'5. 0% scenarijus'!$C$5)</f>
        <v>#VALUE!</v>
      </c>
      <c r="T194" s="62" t="e">
        <f>'3. Finansinės prielaidos'!G29+S194+G194</f>
        <v>#VALUE!</v>
      </c>
      <c r="U194" s="62" t="e">
        <f t="shared" si="70"/>
        <v>#VALUE!</v>
      </c>
      <c r="V194" s="72" t="e">
        <f t="shared" si="71"/>
        <v>#VALUE!</v>
      </c>
      <c r="W194" s="72" t="e">
        <f t="shared" si="72"/>
        <v>#VALUE!</v>
      </c>
      <c r="X194" s="57" t="e">
        <f t="shared" si="73"/>
        <v>#VALUE!</v>
      </c>
      <c r="Y194" s="57" t="e">
        <f t="shared" si="74"/>
        <v>#VALUE!</v>
      </c>
      <c r="Z194" s="57"/>
      <c r="AA194" s="57"/>
      <c r="AB194" s="57"/>
      <c r="AC194" s="57"/>
      <c r="AD194" s="57"/>
      <c r="AE194" s="57"/>
      <c r="AF194" s="57"/>
      <c r="AG194" s="57"/>
      <c r="AH194" s="57"/>
      <c r="AI194" s="57"/>
      <c r="AJ194" s="57"/>
      <c r="AK194" s="57"/>
      <c r="AL194" s="57"/>
      <c r="AM194" s="57"/>
      <c r="AN194" s="57"/>
      <c r="AO194" s="57"/>
      <c r="AP194" s="57"/>
      <c r="AQ194" s="57"/>
      <c r="AR194" s="57"/>
      <c r="AS194" s="57"/>
    </row>
    <row r="195" spans="1:45">
      <c r="A195" s="57">
        <v>16</v>
      </c>
      <c r="B195" s="57">
        <v>2031</v>
      </c>
      <c r="C195" s="62">
        <f>SUM('4. Metinis CAPEX'!K$9:K$24)</f>
        <v>0</v>
      </c>
      <c r="D195" s="62" cm="1">
        <f t="array" ref="D195">SUMPRODUCT('4. Metinis CAPEX'!K$9:K$24,IFERROR('2. Investicijos'!$N$5:$N$20/'2. Investicijos'!$H$5:$H$20,0))</f>
        <v>0</v>
      </c>
      <c r="E195" s="62" cm="1">
        <f t="array" ref="E195">SUMPRODUCT('4. Metinis CAPEX'!K$9:K$24,IFERROR(('2. Investicijos'!$I$5:$I$20+'2. Investicijos'!$J$5:$J$20+'2. Investicijos'!$K$5:$K$20+'2. Investicijos'!$L$5:$L$20)/'2. Investicijos'!$H$5:$H$20,0))</f>
        <v>0</v>
      </c>
      <c r="F195" s="62" cm="1">
        <f t="array" ref="F195">SUM('2. Investicijos'!$H$5:$H$20*IF('2. Investicijos'!$G$5:$G$20&lt;=35,30%,40%))</f>
        <v>0</v>
      </c>
      <c r="G195" s="62" cm="1">
        <f t="array" ref="G195">IF(AND(2031&gt;=2026,2031&lt;2026+'6. Aprašo scenarijus'!$C$4),SUM('2. Investicijos'!$H$5:$H$20*IF('2. Investicijos'!$G$5:$G$20&lt;=35,30%,40%))/'6. Aprašo scenarijus'!$C$4,0)</f>
        <v>0</v>
      </c>
      <c r="H195" s="62">
        <f t="shared" si="68"/>
        <v>0</v>
      </c>
      <c r="I195" s="62">
        <f>SUM(K$5:K$20)</f>
        <v>0</v>
      </c>
      <c r="J195" s="62" t="e" cm="1">
        <f t="array" ref="J195">K195+L195+MAX(0,-R194)*IFERROR(SUMPRODUCT(IF('2. Investicijos'!$N$5:$N$20&gt;('2. Investicijos'!$H$5:$H$20*IF('2. Investicijos'!$G$5:$G$20&lt;=35,30%,40%)),'2. Investicijos'!$N$5:$N$20-('2. Investicijos'!$H$5:$H$20*IF('2. Investicijos'!$G$5:$G$20&lt;=35,30%,40%)),0),'2. Investicijos'!$O$5:$O$20/100)/SUM(IF('2. Investicijos'!$N$5:$N$20&gt;('2. Investicijos'!$H$5:$H$20*IF('2. Investicijos'!$G$5:$G$20&lt;=35,30%,40%)),'2. Investicijos'!$N$5:$N$20-('2. Investicijos'!$H$5:$H$20*IF('2. Investicijos'!$G$5:$G$20&lt;=35,30%,40%)),0)),0)</f>
        <v>#VALUE!</v>
      </c>
      <c r="K195" s="62">
        <f>SUM(AE$5:AE$20)</f>
        <v>0</v>
      </c>
      <c r="L195" s="62">
        <f>SUM(U$5:U$20)</f>
        <v>0</v>
      </c>
      <c r="M195" s="62">
        <f>SUM(AO$5:AO$20)</f>
        <v>0</v>
      </c>
      <c r="N195" s="62">
        <f>'3. Finansinės prielaidos'!H30+M195</f>
        <v>0</v>
      </c>
      <c r="O195" s="62">
        <f>'3. Finansinės prielaidos'!H31</f>
        <v>0</v>
      </c>
      <c r="P195" s="62">
        <f>'3. Finansinės prielaidos'!H32</f>
        <v>0</v>
      </c>
      <c r="Q195" s="62" t="e">
        <f t="shared" si="69"/>
        <v>#VALUE!</v>
      </c>
      <c r="R195" s="62" t="e">
        <f>R194+('3. Finansinės prielaidos'!H31-'3. Finansinės prielaidos'!G31)+Q195</f>
        <v>#VALUE!</v>
      </c>
      <c r="S195" s="62" t="e" cm="1">
        <f t="array" ref="S195">SUMPRODUCT(--(2031&gt;'2. Investicijos'!$F$5:$F$20),--(2031&lt;='2. Investicijos'!$F$5:$F$20+'2. Investicijos'!$G$5:$G$20),IFERROR(('2. Investicijos'!$M$5:$M$20+IF('2. Investicijos'!$N$5:$N$20&gt;('2. Investicijos'!$H$5:$H$20*IF('2. Investicijos'!$G$5:$G$20&lt;=35,30%,40%)),'2. Investicijos'!$N$5:$N$20-('2. Investicijos'!$H$5:$H$20*IF('2. Investicijos'!$G$5:$G$20&lt;=35,30%,40%)),0)+('2. Investicijos'!$H$5:$H$20*IF('2. Investicijos'!$G$5:$G$20&lt;=35,30%,40%)))/'2. Investicijos'!$G$5:$G$20,0))+SUMPRODUCT(--(2031&gt;'2. Investicijos'!$F$5:$F$20),--(2031&lt;='2. Investicijos'!$F$5:$F$20+'2. Investicijos'!$G$5:$G$20),IFERROR(('2. Investicijos'!$M$5:$M$20+IF('2. Investicijos'!$N$5:$N$20&gt;('2. Investicijos'!$H$5:$H$20*IF('2. Investicijos'!$G$5:$G$20&lt;=35,30%,40%)),'2. Investicijos'!$N$5:$N$20-('2. Investicijos'!$H$5:$H$20*IF('2. Investicijos'!$G$5:$G$20&lt;=35,30%,40%)),0))*(1-((2031-'2. Investicijos'!$F$5:$F$20)-1)/'2. Investicijos'!$G$5:$G$20),0)*'5. 0% scenarijus'!$C$5)</f>
        <v>#VALUE!</v>
      </c>
      <c r="T195" s="62" t="e">
        <f>'3. Finansinės prielaidos'!H29+S195+G195</f>
        <v>#VALUE!</v>
      </c>
      <c r="U195" s="62" t="e">
        <f t="shared" si="70"/>
        <v>#VALUE!</v>
      </c>
      <c r="V195" s="72" t="e">
        <f t="shared" si="71"/>
        <v>#VALUE!</v>
      </c>
      <c r="W195" s="72" t="e">
        <f t="shared" si="72"/>
        <v>#VALUE!</v>
      </c>
      <c r="X195" s="57" t="e">
        <f t="shared" si="73"/>
        <v>#VALUE!</v>
      </c>
      <c r="Y195" s="57" t="e">
        <f t="shared" si="74"/>
        <v>#VALUE!</v>
      </c>
      <c r="Z195" s="57"/>
      <c r="AA195" s="57"/>
      <c r="AB195" s="57"/>
      <c r="AC195" s="57"/>
      <c r="AD195" s="57"/>
      <c r="AE195" s="57"/>
      <c r="AF195" s="57"/>
      <c r="AG195" s="57"/>
      <c r="AH195" s="57"/>
      <c r="AI195" s="57"/>
      <c r="AJ195" s="57"/>
      <c r="AK195" s="57"/>
      <c r="AL195" s="57"/>
      <c r="AM195" s="57"/>
      <c r="AN195" s="57"/>
      <c r="AO195" s="57"/>
      <c r="AP195" s="57"/>
      <c r="AQ195" s="57"/>
      <c r="AR195" s="57"/>
      <c r="AS195" s="57"/>
    </row>
    <row r="196" spans="1:45">
      <c r="A196" s="57">
        <v>16</v>
      </c>
      <c r="B196" s="57">
        <v>2032</v>
      </c>
      <c r="C196" s="62">
        <f>SUM('4. Metinis CAPEX'!L$9:L$24)</f>
        <v>0</v>
      </c>
      <c r="D196" s="62" cm="1">
        <f t="array" ref="D196">SUMPRODUCT('4. Metinis CAPEX'!L$9:L$24,IFERROR('2. Investicijos'!$N$5:$N$20/'2. Investicijos'!$H$5:$H$20,0))</f>
        <v>0</v>
      </c>
      <c r="E196" s="62" cm="1">
        <f t="array" ref="E196">SUMPRODUCT('4. Metinis CAPEX'!L$9:L$24,IFERROR(('2. Investicijos'!$I$5:$I$20+'2. Investicijos'!$J$5:$J$20+'2. Investicijos'!$K$5:$K$20+'2. Investicijos'!$L$5:$L$20)/'2. Investicijos'!$H$5:$H$20,0))</f>
        <v>0</v>
      </c>
      <c r="F196" s="62" cm="1">
        <f t="array" ref="F196">SUM('2. Investicijos'!$H$5:$H$20*IF('2. Investicijos'!$G$5:$G$20&lt;=35,30%,40%))</f>
        <v>0</v>
      </c>
      <c r="G196" s="62" cm="1">
        <f t="array" ref="G196">IF(AND(2032&gt;=2026,2032&lt;2026+'6. Aprašo scenarijus'!$C$4),SUM('2. Investicijos'!$H$5:$H$20*IF('2. Investicijos'!$G$5:$G$20&lt;=35,30%,40%))/'6. Aprašo scenarijus'!$C$4,0)</f>
        <v>0</v>
      </c>
      <c r="H196" s="62">
        <f t="shared" si="68"/>
        <v>0</v>
      </c>
      <c r="I196" s="62">
        <f>SUM(L$5:L$20)</f>
        <v>0</v>
      </c>
      <c r="J196" s="62" t="e" cm="1">
        <f t="array" ref="J196">K196+L196+MAX(0,-R195)*IFERROR(SUMPRODUCT(IF('2. Investicijos'!$N$5:$N$20&gt;('2. Investicijos'!$H$5:$H$20*IF('2. Investicijos'!$G$5:$G$20&lt;=35,30%,40%)),'2. Investicijos'!$N$5:$N$20-('2. Investicijos'!$H$5:$H$20*IF('2. Investicijos'!$G$5:$G$20&lt;=35,30%,40%)),0),'2. Investicijos'!$O$5:$O$20/100)/SUM(IF('2. Investicijos'!$N$5:$N$20&gt;('2. Investicijos'!$H$5:$H$20*IF('2. Investicijos'!$G$5:$G$20&lt;=35,30%,40%)),'2. Investicijos'!$N$5:$N$20-('2. Investicijos'!$H$5:$H$20*IF('2. Investicijos'!$G$5:$G$20&lt;=35,30%,40%)),0)),0)</f>
        <v>#VALUE!</v>
      </c>
      <c r="K196" s="62">
        <f>SUM(AF$5:AF$20)</f>
        <v>0</v>
      </c>
      <c r="L196" s="62">
        <f>SUM(V$5:V$20)</f>
        <v>0</v>
      </c>
      <c r="M196" s="62">
        <f>SUM(AP$5:AP$20)</f>
        <v>0</v>
      </c>
      <c r="N196" s="62">
        <f>'3. Finansinės prielaidos'!I30+M196</f>
        <v>0</v>
      </c>
      <c r="O196" s="62">
        <f>'3. Finansinės prielaidos'!I31</f>
        <v>0</v>
      </c>
      <c r="P196" s="62">
        <f>'3. Finansinės prielaidos'!I32</f>
        <v>0</v>
      </c>
      <c r="Q196" s="62" t="e">
        <f t="shared" si="69"/>
        <v>#VALUE!</v>
      </c>
      <c r="R196" s="62" t="e">
        <f>R195+('3. Finansinės prielaidos'!I31-'3. Finansinės prielaidos'!H31)+Q196</f>
        <v>#VALUE!</v>
      </c>
      <c r="S196" s="62" t="e" cm="1">
        <f t="array" ref="S196">SUMPRODUCT(--(2032&gt;'2. Investicijos'!$F$5:$F$20),--(2032&lt;='2. Investicijos'!$F$5:$F$20+'2. Investicijos'!$G$5:$G$20),IFERROR(('2. Investicijos'!$M$5:$M$20+IF('2. Investicijos'!$N$5:$N$20&gt;('2. Investicijos'!$H$5:$H$20*IF('2. Investicijos'!$G$5:$G$20&lt;=35,30%,40%)),'2. Investicijos'!$N$5:$N$20-('2. Investicijos'!$H$5:$H$20*IF('2. Investicijos'!$G$5:$G$20&lt;=35,30%,40%)),0)+('2. Investicijos'!$H$5:$H$20*IF('2. Investicijos'!$G$5:$G$20&lt;=35,30%,40%)))/'2. Investicijos'!$G$5:$G$20,0))+SUMPRODUCT(--(2032&gt;'2. Investicijos'!$F$5:$F$20),--(2032&lt;='2. Investicijos'!$F$5:$F$20+'2. Investicijos'!$G$5:$G$20),IFERROR(('2. Investicijos'!$M$5:$M$20+IF('2. Investicijos'!$N$5:$N$20&gt;('2. Investicijos'!$H$5:$H$20*IF('2. Investicijos'!$G$5:$G$20&lt;=35,30%,40%)),'2. Investicijos'!$N$5:$N$20-('2. Investicijos'!$H$5:$H$20*IF('2. Investicijos'!$G$5:$G$20&lt;=35,30%,40%)),0))*(1-((2032-'2. Investicijos'!$F$5:$F$20)-1)/'2. Investicijos'!$G$5:$G$20),0)*'5. 0% scenarijus'!$C$5)</f>
        <v>#VALUE!</v>
      </c>
      <c r="T196" s="62" t="e">
        <f>'3. Finansinės prielaidos'!I29+S196+G196</f>
        <v>#VALUE!</v>
      </c>
      <c r="U196" s="62" t="e">
        <f t="shared" si="70"/>
        <v>#VALUE!</v>
      </c>
      <c r="V196" s="72" t="e">
        <f t="shared" si="71"/>
        <v>#VALUE!</v>
      </c>
      <c r="W196" s="72" t="e">
        <f t="shared" si="72"/>
        <v>#VALUE!</v>
      </c>
      <c r="X196" s="57" t="e">
        <f t="shared" si="73"/>
        <v>#VALUE!</v>
      </c>
      <c r="Y196" s="57" t="e">
        <f t="shared" si="74"/>
        <v>#VALUE!</v>
      </c>
      <c r="Z196" s="57"/>
      <c r="AA196" s="57"/>
      <c r="AB196" s="57"/>
      <c r="AC196" s="57"/>
      <c r="AD196" s="57"/>
      <c r="AE196" s="57"/>
      <c r="AF196" s="57"/>
      <c r="AG196" s="57"/>
      <c r="AH196" s="57"/>
      <c r="AI196" s="57"/>
      <c r="AJ196" s="57"/>
      <c r="AK196" s="57"/>
      <c r="AL196" s="57"/>
      <c r="AM196" s="57"/>
      <c r="AN196" s="57"/>
      <c r="AO196" s="57"/>
      <c r="AP196" s="57"/>
      <c r="AQ196" s="57"/>
      <c r="AR196" s="57"/>
      <c r="AS196" s="57"/>
    </row>
    <row r="197" spans="1:45">
      <c r="A197" s="57">
        <v>16</v>
      </c>
      <c r="B197" s="57">
        <v>2033</v>
      </c>
      <c r="C197" s="62">
        <f>SUM('4. Metinis CAPEX'!M$9:M$24)</f>
        <v>0</v>
      </c>
      <c r="D197" s="62" cm="1">
        <f t="array" ref="D197">SUMPRODUCT('4. Metinis CAPEX'!M$9:M$24,IFERROR('2. Investicijos'!$N$5:$N$20/'2. Investicijos'!$H$5:$H$20,0))</f>
        <v>0</v>
      </c>
      <c r="E197" s="62" cm="1">
        <f t="array" ref="E197">SUMPRODUCT('4. Metinis CAPEX'!M$9:M$24,IFERROR(('2. Investicijos'!$I$5:$I$20+'2. Investicijos'!$J$5:$J$20+'2. Investicijos'!$K$5:$K$20+'2. Investicijos'!$L$5:$L$20)/'2. Investicijos'!$H$5:$H$20,0))</f>
        <v>0</v>
      </c>
      <c r="F197" s="62" cm="1">
        <f t="array" ref="F197">SUM('2. Investicijos'!$H$5:$H$20*IF('2. Investicijos'!$G$5:$G$20&lt;=35,30%,40%))</f>
        <v>0</v>
      </c>
      <c r="G197" s="62" cm="1">
        <f t="array" ref="G197">IF(AND(2033&gt;=2026,2033&lt;2026+'6. Aprašo scenarijus'!$C$4),SUM('2. Investicijos'!$H$5:$H$20*IF('2. Investicijos'!$G$5:$G$20&lt;=35,30%,40%))/'6. Aprašo scenarijus'!$C$4,0)</f>
        <v>0</v>
      </c>
      <c r="H197" s="62">
        <f t="shared" si="68"/>
        <v>0</v>
      </c>
      <c r="I197" s="62">
        <f>SUM(M$5:M$20)</f>
        <v>0</v>
      </c>
      <c r="J197" s="62" t="e" cm="1">
        <f t="array" ref="J197">K197+L197+MAX(0,-R196)*IFERROR(SUMPRODUCT(IF('2. Investicijos'!$N$5:$N$20&gt;('2. Investicijos'!$H$5:$H$20*IF('2. Investicijos'!$G$5:$G$20&lt;=35,30%,40%)),'2. Investicijos'!$N$5:$N$20-('2. Investicijos'!$H$5:$H$20*IF('2. Investicijos'!$G$5:$G$20&lt;=35,30%,40%)),0),'2. Investicijos'!$O$5:$O$20/100)/SUM(IF('2. Investicijos'!$N$5:$N$20&gt;('2. Investicijos'!$H$5:$H$20*IF('2. Investicijos'!$G$5:$G$20&lt;=35,30%,40%)),'2. Investicijos'!$N$5:$N$20-('2. Investicijos'!$H$5:$H$20*IF('2. Investicijos'!$G$5:$G$20&lt;=35,30%,40%)),0)),0)</f>
        <v>#VALUE!</v>
      </c>
      <c r="K197" s="62">
        <f>SUM(AG$5:AG$20)</f>
        <v>0</v>
      </c>
      <c r="L197" s="62">
        <f>SUM(W$5:W$20)</f>
        <v>0</v>
      </c>
      <c r="M197" s="62">
        <f>SUM(AQ$5:AQ$20)</f>
        <v>0</v>
      </c>
      <c r="N197" s="62">
        <f>'3. Finansinės prielaidos'!J30+M197</f>
        <v>0</v>
      </c>
      <c r="O197" s="62">
        <f>'3. Finansinės prielaidos'!J31</f>
        <v>0</v>
      </c>
      <c r="P197" s="62">
        <f>'3. Finansinės prielaidos'!J32</f>
        <v>0</v>
      </c>
      <c r="Q197" s="62" t="e">
        <f t="shared" si="69"/>
        <v>#VALUE!</v>
      </c>
      <c r="R197" s="62" t="e">
        <f>R196+('3. Finansinės prielaidos'!J31-'3. Finansinės prielaidos'!I31)+Q197</f>
        <v>#VALUE!</v>
      </c>
      <c r="S197" s="62" t="e" cm="1">
        <f t="array" ref="S197">SUMPRODUCT(--(2033&gt;'2. Investicijos'!$F$5:$F$20),--(2033&lt;='2. Investicijos'!$F$5:$F$20+'2. Investicijos'!$G$5:$G$20),IFERROR(('2. Investicijos'!$M$5:$M$20+IF('2. Investicijos'!$N$5:$N$20&gt;('2. Investicijos'!$H$5:$H$20*IF('2. Investicijos'!$G$5:$G$20&lt;=35,30%,40%)),'2. Investicijos'!$N$5:$N$20-('2. Investicijos'!$H$5:$H$20*IF('2. Investicijos'!$G$5:$G$20&lt;=35,30%,40%)),0)+('2. Investicijos'!$H$5:$H$20*IF('2. Investicijos'!$G$5:$G$20&lt;=35,30%,40%)))/'2. Investicijos'!$G$5:$G$20,0))+SUMPRODUCT(--(2033&gt;'2. Investicijos'!$F$5:$F$20),--(2033&lt;='2. Investicijos'!$F$5:$F$20+'2. Investicijos'!$G$5:$G$20),IFERROR(('2. Investicijos'!$M$5:$M$20+IF('2. Investicijos'!$N$5:$N$20&gt;('2. Investicijos'!$H$5:$H$20*IF('2. Investicijos'!$G$5:$G$20&lt;=35,30%,40%)),'2. Investicijos'!$N$5:$N$20-('2. Investicijos'!$H$5:$H$20*IF('2. Investicijos'!$G$5:$G$20&lt;=35,30%,40%)),0))*(1-((2033-'2. Investicijos'!$F$5:$F$20)-1)/'2. Investicijos'!$G$5:$G$20),0)*'5. 0% scenarijus'!$C$5)</f>
        <v>#VALUE!</v>
      </c>
      <c r="T197" s="62" t="e">
        <f>'3. Finansinės prielaidos'!J29+S197+G197</f>
        <v>#VALUE!</v>
      </c>
      <c r="U197" s="62" t="e">
        <f t="shared" si="70"/>
        <v>#VALUE!</v>
      </c>
      <c r="V197" s="72" t="e">
        <f t="shared" si="71"/>
        <v>#VALUE!</v>
      </c>
      <c r="W197" s="72" t="e">
        <f t="shared" si="72"/>
        <v>#VALUE!</v>
      </c>
      <c r="X197" s="57" t="e">
        <f t="shared" si="73"/>
        <v>#VALUE!</v>
      </c>
      <c r="Y197" s="57" t="e">
        <f t="shared" si="74"/>
        <v>#VALUE!</v>
      </c>
      <c r="Z197" s="57"/>
      <c r="AA197" s="57"/>
      <c r="AB197" s="57"/>
      <c r="AC197" s="57"/>
      <c r="AD197" s="57"/>
      <c r="AE197" s="57"/>
      <c r="AF197" s="57"/>
      <c r="AG197" s="57"/>
      <c r="AH197" s="57"/>
      <c r="AI197" s="57"/>
      <c r="AJ197" s="57"/>
      <c r="AK197" s="57"/>
      <c r="AL197" s="57"/>
      <c r="AM197" s="57"/>
      <c r="AN197" s="57"/>
      <c r="AO197" s="57"/>
      <c r="AP197" s="57"/>
      <c r="AQ197" s="57"/>
      <c r="AR197" s="57"/>
      <c r="AS197" s="57"/>
    </row>
    <row r="198" spans="1:45">
      <c r="A198" s="57">
        <v>16</v>
      </c>
      <c r="B198" s="57">
        <v>2034</v>
      </c>
      <c r="C198" s="62">
        <f>SUM('4. Metinis CAPEX'!N$9:N$24)</f>
        <v>0</v>
      </c>
      <c r="D198" s="62" cm="1">
        <f t="array" ref="D198">SUMPRODUCT('4. Metinis CAPEX'!N$9:N$24,IFERROR('2. Investicijos'!$N$5:$N$20/'2. Investicijos'!$H$5:$H$20,0))</f>
        <v>0</v>
      </c>
      <c r="E198" s="62" cm="1">
        <f t="array" ref="E198">SUMPRODUCT('4. Metinis CAPEX'!N$9:N$24,IFERROR(('2. Investicijos'!$I$5:$I$20+'2. Investicijos'!$J$5:$J$20+'2. Investicijos'!$K$5:$K$20+'2. Investicijos'!$L$5:$L$20)/'2. Investicijos'!$H$5:$H$20,0))</f>
        <v>0</v>
      </c>
      <c r="F198" s="62" cm="1">
        <f t="array" ref="F198">SUM('2. Investicijos'!$H$5:$H$20*IF('2. Investicijos'!$G$5:$G$20&lt;=35,30%,40%))</f>
        <v>0</v>
      </c>
      <c r="G198" s="62" cm="1">
        <f t="array" ref="G198">IF(AND(2034&gt;=2026,2034&lt;2026+'6. Aprašo scenarijus'!$C$4),SUM('2. Investicijos'!$H$5:$H$20*IF('2. Investicijos'!$G$5:$G$20&lt;=35,30%,40%))/'6. Aprašo scenarijus'!$C$4,0)</f>
        <v>0</v>
      </c>
      <c r="H198" s="62">
        <f t="shared" si="68"/>
        <v>0</v>
      </c>
      <c r="I198" s="62">
        <f>SUM(N$5:N$20)</f>
        <v>0</v>
      </c>
      <c r="J198" s="62" t="e" cm="1">
        <f t="array" ref="J198">K198+L198+MAX(0,-R197)*IFERROR(SUMPRODUCT(IF('2. Investicijos'!$N$5:$N$20&gt;('2. Investicijos'!$H$5:$H$20*IF('2. Investicijos'!$G$5:$G$20&lt;=35,30%,40%)),'2. Investicijos'!$N$5:$N$20-('2. Investicijos'!$H$5:$H$20*IF('2. Investicijos'!$G$5:$G$20&lt;=35,30%,40%)),0),'2. Investicijos'!$O$5:$O$20/100)/SUM(IF('2. Investicijos'!$N$5:$N$20&gt;('2. Investicijos'!$H$5:$H$20*IF('2. Investicijos'!$G$5:$G$20&lt;=35,30%,40%)),'2. Investicijos'!$N$5:$N$20-('2. Investicijos'!$H$5:$H$20*IF('2. Investicijos'!$G$5:$G$20&lt;=35,30%,40%)),0)),0)</f>
        <v>#VALUE!</v>
      </c>
      <c r="K198" s="62">
        <f>SUM(AH$5:AH$20)</f>
        <v>0</v>
      </c>
      <c r="L198" s="62">
        <f>SUM(X$5:X$20)</f>
        <v>0</v>
      </c>
      <c r="M198" s="62">
        <f>SUM(AR$5:AR$20)</f>
        <v>0</v>
      </c>
      <c r="N198" s="62">
        <f>'3. Finansinės prielaidos'!K30+M198</f>
        <v>0</v>
      </c>
      <c r="O198" s="62">
        <f>'3. Finansinės prielaidos'!K31</f>
        <v>0</v>
      </c>
      <c r="P198" s="62">
        <f>'3. Finansinės prielaidos'!K32</f>
        <v>0</v>
      </c>
      <c r="Q198" s="62" t="e">
        <f t="shared" si="69"/>
        <v>#VALUE!</v>
      </c>
      <c r="R198" s="62" t="e">
        <f>R197+('3. Finansinės prielaidos'!K31-'3. Finansinės prielaidos'!J31)+Q198</f>
        <v>#VALUE!</v>
      </c>
      <c r="S198" s="62" t="e" cm="1">
        <f t="array" ref="S198">SUMPRODUCT(--(2034&gt;'2. Investicijos'!$F$5:$F$20),--(2034&lt;='2. Investicijos'!$F$5:$F$20+'2. Investicijos'!$G$5:$G$20),IFERROR(('2. Investicijos'!$M$5:$M$20+IF('2. Investicijos'!$N$5:$N$20&gt;('2. Investicijos'!$H$5:$H$20*IF('2. Investicijos'!$G$5:$G$20&lt;=35,30%,40%)),'2. Investicijos'!$N$5:$N$20-('2. Investicijos'!$H$5:$H$20*IF('2. Investicijos'!$G$5:$G$20&lt;=35,30%,40%)),0)+('2. Investicijos'!$H$5:$H$20*IF('2. Investicijos'!$G$5:$G$20&lt;=35,30%,40%)))/'2. Investicijos'!$G$5:$G$20,0))+SUMPRODUCT(--(2034&gt;'2. Investicijos'!$F$5:$F$20),--(2034&lt;='2. Investicijos'!$F$5:$F$20+'2. Investicijos'!$G$5:$G$20),IFERROR(('2. Investicijos'!$M$5:$M$20+IF('2. Investicijos'!$N$5:$N$20&gt;('2. Investicijos'!$H$5:$H$20*IF('2. Investicijos'!$G$5:$G$20&lt;=35,30%,40%)),'2. Investicijos'!$N$5:$N$20-('2. Investicijos'!$H$5:$H$20*IF('2. Investicijos'!$G$5:$G$20&lt;=35,30%,40%)),0))*(1-((2034-'2. Investicijos'!$F$5:$F$20)-1)/'2. Investicijos'!$G$5:$G$20),0)*'5. 0% scenarijus'!$C$5)</f>
        <v>#VALUE!</v>
      </c>
      <c r="T198" s="62" t="e">
        <f>'3. Finansinės prielaidos'!K29+S198+G198</f>
        <v>#VALUE!</v>
      </c>
      <c r="U198" s="62" t="e">
        <f t="shared" si="70"/>
        <v>#VALUE!</v>
      </c>
      <c r="V198" s="72" t="e">
        <f t="shared" si="71"/>
        <v>#VALUE!</v>
      </c>
      <c r="W198" s="72" t="e">
        <f t="shared" si="72"/>
        <v>#VALUE!</v>
      </c>
      <c r="X198" s="57" t="e">
        <f t="shared" si="73"/>
        <v>#VALUE!</v>
      </c>
      <c r="Y198" s="57" t="e">
        <f t="shared" si="74"/>
        <v>#VALUE!</v>
      </c>
      <c r="Z198" s="57"/>
      <c r="AA198" s="57"/>
      <c r="AB198" s="57"/>
      <c r="AC198" s="57"/>
      <c r="AD198" s="57"/>
      <c r="AE198" s="57"/>
      <c r="AF198" s="57"/>
      <c r="AG198" s="57"/>
      <c r="AH198" s="57"/>
      <c r="AI198" s="57"/>
      <c r="AJ198" s="57"/>
      <c r="AK198" s="57"/>
      <c r="AL198" s="57"/>
      <c r="AM198" s="57"/>
      <c r="AN198" s="57"/>
      <c r="AO198" s="57"/>
      <c r="AP198" s="57"/>
      <c r="AQ198" s="57"/>
      <c r="AR198" s="57"/>
      <c r="AS198" s="57"/>
    </row>
    <row r="199" spans="1:45">
      <c r="A199" s="57">
        <v>16</v>
      </c>
      <c r="B199" s="57">
        <v>2035</v>
      </c>
      <c r="C199" s="62">
        <f>SUM('4. Metinis CAPEX'!O$9:O$24)</f>
        <v>0</v>
      </c>
      <c r="D199" s="62" cm="1">
        <f t="array" ref="D199">SUMPRODUCT('4. Metinis CAPEX'!O$9:O$24,IFERROR('2. Investicijos'!$N$5:$N$20/'2. Investicijos'!$H$5:$H$20,0))</f>
        <v>0</v>
      </c>
      <c r="E199" s="62" cm="1">
        <f t="array" ref="E199">SUMPRODUCT('4. Metinis CAPEX'!O$9:O$24,IFERROR(('2. Investicijos'!$I$5:$I$20+'2. Investicijos'!$J$5:$J$20+'2. Investicijos'!$K$5:$K$20+'2. Investicijos'!$L$5:$L$20)/'2. Investicijos'!$H$5:$H$20,0))</f>
        <v>0</v>
      </c>
      <c r="F199" s="62" cm="1">
        <f t="array" ref="F199">SUM('2. Investicijos'!$H$5:$H$20*IF('2. Investicijos'!$G$5:$G$20&lt;=35,30%,40%))</f>
        <v>0</v>
      </c>
      <c r="G199" s="62" cm="1">
        <f t="array" ref="G199">IF(AND(2035&gt;=2026,2035&lt;2026+'6. Aprašo scenarijus'!$C$4),SUM('2. Investicijos'!$H$5:$H$20*IF('2. Investicijos'!$G$5:$G$20&lt;=35,30%,40%))/'6. Aprašo scenarijus'!$C$4,0)</f>
        <v>0</v>
      </c>
      <c r="H199" s="62">
        <f t="shared" si="68"/>
        <v>0</v>
      </c>
      <c r="I199" s="62">
        <f>SUM(O$5:O$20)</f>
        <v>0</v>
      </c>
      <c r="J199" s="62" t="e" cm="1">
        <f t="array" ref="J199">K199+L199+MAX(0,-R198)*IFERROR(SUMPRODUCT(IF('2. Investicijos'!$N$5:$N$20&gt;('2. Investicijos'!$H$5:$H$20*IF('2. Investicijos'!$G$5:$G$20&lt;=35,30%,40%)),'2. Investicijos'!$N$5:$N$20-('2. Investicijos'!$H$5:$H$20*IF('2. Investicijos'!$G$5:$G$20&lt;=35,30%,40%)),0),'2. Investicijos'!$O$5:$O$20/100)/SUM(IF('2. Investicijos'!$N$5:$N$20&gt;('2. Investicijos'!$H$5:$H$20*IF('2. Investicijos'!$G$5:$G$20&lt;=35,30%,40%)),'2. Investicijos'!$N$5:$N$20-('2. Investicijos'!$H$5:$H$20*IF('2. Investicijos'!$G$5:$G$20&lt;=35,30%,40%)),0)),0)</f>
        <v>#VALUE!</v>
      </c>
      <c r="K199" s="62">
        <f>SUM(AI$5:AI$20)</f>
        <v>0</v>
      </c>
      <c r="L199" s="62">
        <f>SUM(Y$5:Y$20)</f>
        <v>0</v>
      </c>
      <c r="M199" s="62">
        <f>SUM(AS$5:AS$20)</f>
        <v>0</v>
      </c>
      <c r="N199" s="62">
        <f>'3. Finansinės prielaidos'!L30+M199</f>
        <v>0</v>
      </c>
      <c r="O199" s="62">
        <f>'3. Finansinės prielaidos'!L31</f>
        <v>0</v>
      </c>
      <c r="P199" s="62">
        <f>'3. Finansinės prielaidos'!L32</f>
        <v>0</v>
      </c>
      <c r="Q199" s="62" t="e">
        <f t="shared" si="69"/>
        <v>#VALUE!</v>
      </c>
      <c r="R199" s="62" t="e">
        <f>R198+('3. Finansinės prielaidos'!L31-'3. Finansinės prielaidos'!K31)+Q199</f>
        <v>#VALUE!</v>
      </c>
      <c r="S199" s="62" t="e" cm="1">
        <f t="array" ref="S199">SUMPRODUCT(--(2035&gt;'2. Investicijos'!$F$5:$F$20),--(2035&lt;='2. Investicijos'!$F$5:$F$20+'2. Investicijos'!$G$5:$G$20),IFERROR(('2. Investicijos'!$M$5:$M$20+IF('2. Investicijos'!$N$5:$N$20&gt;('2. Investicijos'!$H$5:$H$20*IF('2. Investicijos'!$G$5:$G$20&lt;=35,30%,40%)),'2. Investicijos'!$N$5:$N$20-('2. Investicijos'!$H$5:$H$20*IF('2. Investicijos'!$G$5:$G$20&lt;=35,30%,40%)),0)+('2. Investicijos'!$H$5:$H$20*IF('2. Investicijos'!$G$5:$G$20&lt;=35,30%,40%)))/'2. Investicijos'!$G$5:$G$20,0))+SUMPRODUCT(--(2035&gt;'2. Investicijos'!$F$5:$F$20),--(2035&lt;='2. Investicijos'!$F$5:$F$20+'2. Investicijos'!$G$5:$G$20),IFERROR(('2. Investicijos'!$M$5:$M$20+IF('2. Investicijos'!$N$5:$N$20&gt;('2. Investicijos'!$H$5:$H$20*IF('2. Investicijos'!$G$5:$G$20&lt;=35,30%,40%)),'2. Investicijos'!$N$5:$N$20-('2. Investicijos'!$H$5:$H$20*IF('2. Investicijos'!$G$5:$G$20&lt;=35,30%,40%)),0))*(1-((2035-'2. Investicijos'!$F$5:$F$20)-1)/'2. Investicijos'!$G$5:$G$20),0)*'5. 0% scenarijus'!$C$5)</f>
        <v>#VALUE!</v>
      </c>
      <c r="T199" s="62" t="e">
        <f>'3. Finansinės prielaidos'!L29+S199+G199</f>
        <v>#VALUE!</v>
      </c>
      <c r="U199" s="62" t="e">
        <f t="shared" si="70"/>
        <v>#VALUE!</v>
      </c>
      <c r="V199" s="72" t="e">
        <f t="shared" si="71"/>
        <v>#VALUE!</v>
      </c>
      <c r="W199" s="72" t="e">
        <f t="shared" si="72"/>
        <v>#VALUE!</v>
      </c>
      <c r="X199" s="57" t="e">
        <f t="shared" si="73"/>
        <v>#VALUE!</v>
      </c>
      <c r="Y199" s="57" t="e">
        <f t="shared" si="74"/>
        <v>#VALUE!</v>
      </c>
      <c r="Z199" s="57"/>
      <c r="AA199" s="57"/>
      <c r="AB199" s="57"/>
      <c r="AC199" s="57"/>
      <c r="AD199" s="57"/>
      <c r="AE199" s="57"/>
      <c r="AF199" s="57"/>
      <c r="AG199" s="57"/>
      <c r="AH199" s="57"/>
      <c r="AI199" s="57"/>
      <c r="AJ199" s="57"/>
      <c r="AK199" s="57"/>
      <c r="AL199" s="57"/>
      <c r="AM199" s="57"/>
      <c r="AN199" s="57"/>
      <c r="AO199" s="57"/>
      <c r="AP199" s="57"/>
      <c r="AQ199" s="57"/>
      <c r="AR199" s="57"/>
      <c r="AS199" s="57"/>
    </row>
    <row r="200" spans="1:45">
      <c r="A200" s="57">
        <v>17</v>
      </c>
      <c r="B200" s="57">
        <v>2026</v>
      </c>
      <c r="C200" s="62">
        <f>SUM('4. Metinis CAPEX'!F$9:F$25)</f>
        <v>0</v>
      </c>
      <c r="D200" s="62" cm="1">
        <f t="array" ref="D200">SUMPRODUCT('4. Metinis CAPEX'!F$9:F$25,IFERROR('2. Investicijos'!$N$5:$N$21/'2. Investicijos'!$H$5:$H$21,0))</f>
        <v>0</v>
      </c>
      <c r="E200" s="62" cm="1">
        <f t="array" ref="E200">SUMPRODUCT('4. Metinis CAPEX'!F$9:F$25,IFERROR(('2. Investicijos'!$I$5:$I$21+'2. Investicijos'!$J$5:$J$21+'2. Investicijos'!$K$5:$K$21+'2. Investicijos'!$L$5:$L$21)/'2. Investicijos'!$H$5:$H$21,0))</f>
        <v>0</v>
      </c>
      <c r="F200" s="62" cm="1">
        <f t="array" ref="F200">SUM('2. Investicijos'!$H$5:$H$21*IF('2. Investicijos'!$G$5:$G$21&lt;=35,30%,40%))</f>
        <v>0</v>
      </c>
      <c r="G200" s="62" cm="1">
        <f t="array" ref="G200">IF(AND(2026&gt;=2026,2026&lt;2026+'6. Aprašo scenarijus'!$C$4),SUM('2. Investicijos'!$H$5:$H$21*IF('2. Investicijos'!$G$5:$G$21&lt;=35,30%,40%))/'6. Aprašo scenarijus'!$C$4,0)</f>
        <v>0</v>
      </c>
      <c r="H200" s="62">
        <f t="shared" ref="H200:H231" si="75">D200-I200</f>
        <v>0</v>
      </c>
      <c r="I200" s="62">
        <f>SUM(F$5:F$21)</f>
        <v>0</v>
      </c>
      <c r="J200" s="62">
        <f>0</f>
        <v>0</v>
      </c>
      <c r="K200" s="62">
        <f>SUM(Z$5:Z$21)</f>
        <v>0</v>
      </c>
      <c r="L200" s="62">
        <f>SUM(P$5:P$21)</f>
        <v>0</v>
      </c>
      <c r="M200" s="62">
        <f>SUM(AJ$5:AJ$21)</f>
        <v>0</v>
      </c>
      <c r="N200" s="62">
        <f>'3. Finansinės prielaidos'!C30+M200</f>
        <v>0</v>
      </c>
      <c r="O200" s="62">
        <f>'3. Finansinės prielaidos'!C31</f>
        <v>0</v>
      </c>
      <c r="P200" s="62">
        <f>'3. Finansinės prielaidos'!C32</f>
        <v>0</v>
      </c>
      <c r="Q200" s="62" t="e">
        <f t="shared" ref="Q200:Q231" si="76">S200+G200+I200+E200-C200-J200</f>
        <v>#VALUE!</v>
      </c>
      <c r="R200" s="62" t="e">
        <f>O200+Q200</f>
        <v>#VALUE!</v>
      </c>
      <c r="S200" s="62" t="e" cm="1">
        <f t="array" ref="S200">SUMPRODUCT(--(2026&gt;'2. Investicijos'!$F$5:$F$21),--(2026&lt;='2. Investicijos'!$F$5:$F$21+'2. Investicijos'!$G$5:$G$21),IFERROR(('2. Investicijos'!$M$5:$M$21+IF('2. Investicijos'!$N$5:$N$21&gt;('2. Investicijos'!$H$5:$H$21*IF('2. Investicijos'!$G$5:$G$21&lt;=35,30%,40%)),'2. Investicijos'!$N$5:$N$21-('2. Investicijos'!$H$5:$H$21*IF('2. Investicijos'!$G$5:$G$21&lt;=35,30%,40%)),0)+('2. Investicijos'!$H$5:$H$21*IF('2. Investicijos'!$G$5:$G$21&lt;=35,30%,40%)))/'2. Investicijos'!$G$5:$G$21,0))+SUMPRODUCT(--(2026&gt;'2. Investicijos'!$F$5:$F$21),--(2026&lt;='2. Investicijos'!$F$5:$F$21+'2. Investicijos'!$G$5:$G$21),IFERROR(('2. Investicijos'!$M$5:$M$21+IF('2. Investicijos'!$N$5:$N$21&gt;('2. Investicijos'!$H$5:$H$21*IF('2. Investicijos'!$G$5:$G$21&lt;=35,30%,40%)),'2. Investicijos'!$N$5:$N$21-('2. Investicijos'!$H$5:$H$21*IF('2. Investicijos'!$G$5:$G$21&lt;=35,30%,40%)),0))*(1-((2026-'2. Investicijos'!$F$5:$F$21)-1)/'2. Investicijos'!$G$5:$G$21),0)*'5. 0% scenarijus'!$C$5)</f>
        <v>#VALUE!</v>
      </c>
      <c r="T200" s="62" t="e">
        <f>'3. Finansinės prielaidos'!C29+S200+G200</f>
        <v>#VALUE!</v>
      </c>
      <c r="U200" s="62" t="e">
        <f t="shared" ref="U200:U231" si="77">N200-R200</f>
        <v>#VALUE!</v>
      </c>
      <c r="V200" s="72" t="e">
        <f t="shared" ref="V200:V231" si="78">IF(OR(T200="",T200&lt;=0),"",U200/T200)</f>
        <v>#VALUE!</v>
      </c>
      <c r="W200" s="72" t="e">
        <f t="shared" ref="W200:W231" si="79">IF(T200&lt;=0,"",IF(P200+J200=0,999999,T200/(P200+J200)))</f>
        <v>#VALUE!</v>
      </c>
      <c r="X200" s="57" t="e">
        <f t="shared" ref="X200:X231" si="80">IF(OR(V200="",W200=""),"",IF(AND(V200&lt;=5.5,W200&gt;=1.2),"ATITINKA","NEATITINKA"))</f>
        <v>#VALUE!</v>
      </c>
      <c r="Y200" s="57" t="e">
        <f t="shared" ref="Y200:Y231" si="81">IF(X200&lt;&gt;"NEATITINKA","",IF(T200&lt;=0,"EBITDA ≤ 0",IF(AND(V200&gt;5.5,W200&lt;1.2),"Abu",IF(V200&gt;5.5,"Net Debt / EBITDA","DSCR"))))</f>
        <v>#VALUE!</v>
      </c>
      <c r="Z200" s="57"/>
      <c r="AA200" s="57"/>
      <c r="AB200" s="57"/>
      <c r="AC200" s="57"/>
      <c r="AD200" s="57"/>
      <c r="AE200" s="57"/>
      <c r="AF200" s="57"/>
      <c r="AG200" s="57"/>
      <c r="AH200" s="57"/>
      <c r="AI200" s="57"/>
      <c r="AJ200" s="57"/>
      <c r="AK200" s="57"/>
      <c r="AL200" s="57"/>
      <c r="AM200" s="57"/>
      <c r="AN200" s="57"/>
      <c r="AO200" s="57"/>
      <c r="AP200" s="57"/>
      <c r="AQ200" s="57"/>
      <c r="AR200" s="57"/>
      <c r="AS200" s="57"/>
    </row>
    <row r="201" spans="1:45">
      <c r="A201" s="57">
        <v>17</v>
      </c>
      <c r="B201" s="57">
        <v>2027</v>
      </c>
      <c r="C201" s="62">
        <f>SUM('4. Metinis CAPEX'!G$9:G$25)</f>
        <v>0</v>
      </c>
      <c r="D201" s="62" cm="1">
        <f t="array" ref="D201">SUMPRODUCT('4. Metinis CAPEX'!G$9:G$25,IFERROR('2. Investicijos'!$N$5:$N$21/'2. Investicijos'!$H$5:$H$21,0))</f>
        <v>0</v>
      </c>
      <c r="E201" s="62" cm="1">
        <f t="array" ref="E201">SUMPRODUCT('4. Metinis CAPEX'!G$9:G$25,IFERROR(('2. Investicijos'!$I$5:$I$21+'2. Investicijos'!$J$5:$J$21+'2. Investicijos'!$K$5:$K$21+'2. Investicijos'!$L$5:$L$21)/'2. Investicijos'!$H$5:$H$21,0))</f>
        <v>0</v>
      </c>
      <c r="F201" s="62" cm="1">
        <f t="array" ref="F201">SUM('2. Investicijos'!$H$5:$H$21*IF('2. Investicijos'!$G$5:$G$21&lt;=35,30%,40%))</f>
        <v>0</v>
      </c>
      <c r="G201" s="62" cm="1">
        <f t="array" ref="G201">IF(AND(2027&gt;=2026,2027&lt;2026+'6. Aprašo scenarijus'!$C$4),SUM('2. Investicijos'!$H$5:$H$21*IF('2. Investicijos'!$G$5:$G$21&lt;=35,30%,40%))/'6. Aprašo scenarijus'!$C$4,0)</f>
        <v>0</v>
      </c>
      <c r="H201" s="62">
        <f t="shared" si="75"/>
        <v>0</v>
      </c>
      <c r="I201" s="62">
        <f>SUM(G$5:G$21)</f>
        <v>0</v>
      </c>
      <c r="J201" s="62" t="e" cm="1">
        <f t="array" ref="J201">K201+L201+MAX(0,-R200)*IFERROR(SUMPRODUCT(IF('2. Investicijos'!$N$5:$N$21&gt;('2. Investicijos'!$H$5:$H$21*IF('2. Investicijos'!$G$5:$G$21&lt;=35,30%,40%)),'2. Investicijos'!$N$5:$N$21-('2. Investicijos'!$H$5:$H$21*IF('2. Investicijos'!$G$5:$G$21&lt;=35,30%,40%)),0),'2. Investicijos'!$O$5:$O$21/100)/SUM(IF('2. Investicijos'!$N$5:$N$21&gt;('2. Investicijos'!$H$5:$H$21*IF('2. Investicijos'!$G$5:$G$21&lt;=35,30%,40%)),'2. Investicijos'!$N$5:$N$21-('2. Investicijos'!$H$5:$H$21*IF('2. Investicijos'!$G$5:$G$21&lt;=35,30%,40%)),0)),0)</f>
        <v>#VALUE!</v>
      </c>
      <c r="K201" s="62">
        <f>SUM(AA$5:AA$21)</f>
        <v>0</v>
      </c>
      <c r="L201" s="62">
        <f>SUM(Q$5:Q$21)</f>
        <v>0</v>
      </c>
      <c r="M201" s="62">
        <f>SUM(AK$5:AK$21)</f>
        <v>0</v>
      </c>
      <c r="N201" s="62">
        <f>'3. Finansinės prielaidos'!D30+M201</f>
        <v>0</v>
      </c>
      <c r="O201" s="62">
        <f>'3. Finansinės prielaidos'!D31</f>
        <v>0</v>
      </c>
      <c r="P201" s="62">
        <f>'3. Finansinės prielaidos'!D32</f>
        <v>0</v>
      </c>
      <c r="Q201" s="62" t="e">
        <f t="shared" si="76"/>
        <v>#VALUE!</v>
      </c>
      <c r="R201" s="62" t="e">
        <f>R200+('3. Finansinės prielaidos'!D31-'3. Finansinės prielaidos'!C31)+Q201</f>
        <v>#VALUE!</v>
      </c>
      <c r="S201" s="62" t="e" cm="1">
        <f t="array" ref="S201">SUMPRODUCT(--(2027&gt;'2. Investicijos'!$F$5:$F$21),--(2027&lt;='2. Investicijos'!$F$5:$F$21+'2. Investicijos'!$G$5:$G$21),IFERROR(('2. Investicijos'!$M$5:$M$21+IF('2. Investicijos'!$N$5:$N$21&gt;('2. Investicijos'!$H$5:$H$21*IF('2. Investicijos'!$G$5:$G$21&lt;=35,30%,40%)),'2. Investicijos'!$N$5:$N$21-('2. Investicijos'!$H$5:$H$21*IF('2. Investicijos'!$G$5:$G$21&lt;=35,30%,40%)),0)+('2. Investicijos'!$H$5:$H$21*IF('2. Investicijos'!$G$5:$G$21&lt;=35,30%,40%)))/'2. Investicijos'!$G$5:$G$21,0))+SUMPRODUCT(--(2027&gt;'2. Investicijos'!$F$5:$F$21),--(2027&lt;='2. Investicijos'!$F$5:$F$21+'2. Investicijos'!$G$5:$G$21),IFERROR(('2. Investicijos'!$M$5:$M$21+IF('2. Investicijos'!$N$5:$N$21&gt;('2. Investicijos'!$H$5:$H$21*IF('2. Investicijos'!$G$5:$G$21&lt;=35,30%,40%)),'2. Investicijos'!$N$5:$N$21-('2. Investicijos'!$H$5:$H$21*IF('2. Investicijos'!$G$5:$G$21&lt;=35,30%,40%)),0))*(1-((2027-'2. Investicijos'!$F$5:$F$21)-1)/'2. Investicijos'!$G$5:$G$21),0)*'5. 0% scenarijus'!$C$5)</f>
        <v>#VALUE!</v>
      </c>
      <c r="T201" s="62" t="e">
        <f>'3. Finansinės prielaidos'!D29+S201+G201</f>
        <v>#VALUE!</v>
      </c>
      <c r="U201" s="62" t="e">
        <f t="shared" si="77"/>
        <v>#VALUE!</v>
      </c>
      <c r="V201" s="72" t="e">
        <f t="shared" si="78"/>
        <v>#VALUE!</v>
      </c>
      <c r="W201" s="72" t="e">
        <f t="shared" si="79"/>
        <v>#VALUE!</v>
      </c>
      <c r="X201" s="57" t="e">
        <f t="shared" si="80"/>
        <v>#VALUE!</v>
      </c>
      <c r="Y201" s="57" t="e">
        <f t="shared" si="81"/>
        <v>#VALUE!</v>
      </c>
      <c r="Z201" s="57"/>
      <c r="AA201" s="57"/>
      <c r="AB201" s="57"/>
      <c r="AC201" s="57"/>
      <c r="AD201" s="57"/>
      <c r="AE201" s="57"/>
      <c r="AF201" s="57"/>
      <c r="AG201" s="57"/>
      <c r="AH201" s="57"/>
      <c r="AI201" s="57"/>
      <c r="AJ201" s="57"/>
      <c r="AK201" s="57"/>
      <c r="AL201" s="57"/>
      <c r="AM201" s="57"/>
      <c r="AN201" s="57"/>
      <c r="AO201" s="57"/>
      <c r="AP201" s="57"/>
      <c r="AQ201" s="57"/>
      <c r="AR201" s="57"/>
      <c r="AS201" s="57"/>
    </row>
    <row r="202" spans="1:45">
      <c r="A202" s="57">
        <v>17</v>
      </c>
      <c r="B202" s="57">
        <v>2028</v>
      </c>
      <c r="C202" s="62">
        <f>SUM('4. Metinis CAPEX'!H$9:H$25)</f>
        <v>0</v>
      </c>
      <c r="D202" s="62" cm="1">
        <f t="array" ref="D202">SUMPRODUCT('4. Metinis CAPEX'!H$9:H$25,IFERROR('2. Investicijos'!$N$5:$N$21/'2. Investicijos'!$H$5:$H$21,0))</f>
        <v>0</v>
      </c>
      <c r="E202" s="62" cm="1">
        <f t="array" ref="E202">SUMPRODUCT('4. Metinis CAPEX'!H$9:H$25,IFERROR(('2. Investicijos'!$I$5:$I$21+'2. Investicijos'!$J$5:$J$21+'2. Investicijos'!$K$5:$K$21+'2. Investicijos'!$L$5:$L$21)/'2. Investicijos'!$H$5:$H$21,0))</f>
        <v>0</v>
      </c>
      <c r="F202" s="62" cm="1">
        <f t="array" ref="F202">SUM('2. Investicijos'!$H$5:$H$21*IF('2. Investicijos'!$G$5:$G$21&lt;=35,30%,40%))</f>
        <v>0</v>
      </c>
      <c r="G202" s="62" cm="1">
        <f t="array" ref="G202">IF(AND(2028&gt;=2026,2028&lt;2026+'6. Aprašo scenarijus'!$C$4),SUM('2. Investicijos'!$H$5:$H$21*IF('2. Investicijos'!$G$5:$G$21&lt;=35,30%,40%))/'6. Aprašo scenarijus'!$C$4,0)</f>
        <v>0</v>
      </c>
      <c r="H202" s="62">
        <f t="shared" si="75"/>
        <v>0</v>
      </c>
      <c r="I202" s="62">
        <f>SUM(H$5:H$21)</f>
        <v>0</v>
      </c>
      <c r="J202" s="62" t="e" cm="1">
        <f t="array" ref="J202">K202+L202+MAX(0,-R201)*IFERROR(SUMPRODUCT(IF('2. Investicijos'!$N$5:$N$21&gt;('2. Investicijos'!$H$5:$H$21*IF('2. Investicijos'!$G$5:$G$21&lt;=35,30%,40%)),'2. Investicijos'!$N$5:$N$21-('2. Investicijos'!$H$5:$H$21*IF('2. Investicijos'!$G$5:$G$21&lt;=35,30%,40%)),0),'2. Investicijos'!$O$5:$O$21/100)/SUM(IF('2. Investicijos'!$N$5:$N$21&gt;('2. Investicijos'!$H$5:$H$21*IF('2. Investicijos'!$G$5:$G$21&lt;=35,30%,40%)),'2. Investicijos'!$N$5:$N$21-('2. Investicijos'!$H$5:$H$21*IF('2. Investicijos'!$G$5:$G$21&lt;=35,30%,40%)),0)),0)</f>
        <v>#VALUE!</v>
      </c>
      <c r="K202" s="62">
        <f>SUM(AB$5:AB$21)</f>
        <v>0</v>
      </c>
      <c r="L202" s="62">
        <f>SUM(R$5:R$21)</f>
        <v>0</v>
      </c>
      <c r="M202" s="62">
        <f>SUM(AL$5:AL$21)</f>
        <v>0</v>
      </c>
      <c r="N202" s="62">
        <f>'3. Finansinės prielaidos'!E30+M202</f>
        <v>0</v>
      </c>
      <c r="O202" s="62">
        <f>'3. Finansinės prielaidos'!E31</f>
        <v>0</v>
      </c>
      <c r="P202" s="62">
        <f>'3. Finansinės prielaidos'!E32</f>
        <v>0</v>
      </c>
      <c r="Q202" s="62" t="e">
        <f t="shared" si="76"/>
        <v>#VALUE!</v>
      </c>
      <c r="R202" s="62" t="e">
        <f>R201+('3. Finansinės prielaidos'!E31-'3. Finansinės prielaidos'!D31)+Q202</f>
        <v>#VALUE!</v>
      </c>
      <c r="S202" s="62" t="e" cm="1">
        <f t="array" ref="S202">SUMPRODUCT(--(2028&gt;'2. Investicijos'!$F$5:$F$21),--(2028&lt;='2. Investicijos'!$F$5:$F$21+'2. Investicijos'!$G$5:$G$21),IFERROR(('2. Investicijos'!$M$5:$M$21+IF('2. Investicijos'!$N$5:$N$21&gt;('2. Investicijos'!$H$5:$H$21*IF('2. Investicijos'!$G$5:$G$21&lt;=35,30%,40%)),'2. Investicijos'!$N$5:$N$21-('2. Investicijos'!$H$5:$H$21*IF('2. Investicijos'!$G$5:$G$21&lt;=35,30%,40%)),0)+('2. Investicijos'!$H$5:$H$21*IF('2. Investicijos'!$G$5:$G$21&lt;=35,30%,40%)))/'2. Investicijos'!$G$5:$G$21,0))+SUMPRODUCT(--(2028&gt;'2. Investicijos'!$F$5:$F$21),--(2028&lt;='2. Investicijos'!$F$5:$F$21+'2. Investicijos'!$G$5:$G$21),IFERROR(('2. Investicijos'!$M$5:$M$21+IF('2. Investicijos'!$N$5:$N$21&gt;('2. Investicijos'!$H$5:$H$21*IF('2. Investicijos'!$G$5:$G$21&lt;=35,30%,40%)),'2. Investicijos'!$N$5:$N$21-('2. Investicijos'!$H$5:$H$21*IF('2. Investicijos'!$G$5:$G$21&lt;=35,30%,40%)),0))*(1-((2028-'2. Investicijos'!$F$5:$F$21)-1)/'2. Investicijos'!$G$5:$G$21),0)*'5. 0% scenarijus'!$C$5)</f>
        <v>#VALUE!</v>
      </c>
      <c r="T202" s="62" t="e">
        <f>'3. Finansinės prielaidos'!E29+S202+G202</f>
        <v>#VALUE!</v>
      </c>
      <c r="U202" s="62" t="e">
        <f t="shared" si="77"/>
        <v>#VALUE!</v>
      </c>
      <c r="V202" s="72" t="e">
        <f t="shared" si="78"/>
        <v>#VALUE!</v>
      </c>
      <c r="W202" s="72" t="e">
        <f t="shared" si="79"/>
        <v>#VALUE!</v>
      </c>
      <c r="X202" s="57" t="e">
        <f t="shared" si="80"/>
        <v>#VALUE!</v>
      </c>
      <c r="Y202" s="57" t="e">
        <f t="shared" si="81"/>
        <v>#VALUE!</v>
      </c>
      <c r="Z202" s="57"/>
      <c r="AA202" s="57"/>
      <c r="AB202" s="57"/>
      <c r="AC202" s="57"/>
      <c r="AD202" s="57"/>
      <c r="AE202" s="57"/>
      <c r="AF202" s="57"/>
      <c r="AG202" s="57"/>
      <c r="AH202" s="57"/>
      <c r="AI202" s="57"/>
      <c r="AJ202" s="57"/>
      <c r="AK202" s="57"/>
      <c r="AL202" s="57"/>
      <c r="AM202" s="57"/>
      <c r="AN202" s="57"/>
      <c r="AO202" s="57"/>
      <c r="AP202" s="57"/>
      <c r="AQ202" s="57"/>
      <c r="AR202" s="57"/>
      <c r="AS202" s="57"/>
    </row>
    <row r="203" spans="1:45">
      <c r="A203" s="57">
        <v>17</v>
      </c>
      <c r="B203" s="57">
        <v>2029</v>
      </c>
      <c r="C203" s="62">
        <f>SUM('4. Metinis CAPEX'!I$9:I$25)</f>
        <v>0</v>
      </c>
      <c r="D203" s="62" cm="1">
        <f t="array" ref="D203">SUMPRODUCT('4. Metinis CAPEX'!I$9:I$25,IFERROR('2. Investicijos'!$N$5:$N$21/'2. Investicijos'!$H$5:$H$21,0))</f>
        <v>0</v>
      </c>
      <c r="E203" s="62" cm="1">
        <f t="array" ref="E203">SUMPRODUCT('4. Metinis CAPEX'!I$9:I$25,IFERROR(('2. Investicijos'!$I$5:$I$21+'2. Investicijos'!$J$5:$J$21+'2. Investicijos'!$K$5:$K$21+'2. Investicijos'!$L$5:$L$21)/'2. Investicijos'!$H$5:$H$21,0))</f>
        <v>0</v>
      </c>
      <c r="F203" s="62" cm="1">
        <f t="array" ref="F203">SUM('2. Investicijos'!$H$5:$H$21*IF('2. Investicijos'!$G$5:$G$21&lt;=35,30%,40%))</f>
        <v>0</v>
      </c>
      <c r="G203" s="62" cm="1">
        <f t="array" ref="G203">IF(AND(2029&gt;=2026,2029&lt;2026+'6. Aprašo scenarijus'!$C$4),SUM('2. Investicijos'!$H$5:$H$21*IF('2. Investicijos'!$G$5:$G$21&lt;=35,30%,40%))/'6. Aprašo scenarijus'!$C$4,0)</f>
        <v>0</v>
      </c>
      <c r="H203" s="62">
        <f t="shared" si="75"/>
        <v>0</v>
      </c>
      <c r="I203" s="62">
        <f>SUM(I$5:I$21)</f>
        <v>0</v>
      </c>
      <c r="J203" s="62" t="e" cm="1">
        <f t="array" ref="J203">K203+L203+MAX(0,-R202)*IFERROR(SUMPRODUCT(IF('2. Investicijos'!$N$5:$N$21&gt;('2. Investicijos'!$H$5:$H$21*IF('2. Investicijos'!$G$5:$G$21&lt;=35,30%,40%)),'2. Investicijos'!$N$5:$N$21-('2. Investicijos'!$H$5:$H$21*IF('2. Investicijos'!$G$5:$G$21&lt;=35,30%,40%)),0),'2. Investicijos'!$O$5:$O$21/100)/SUM(IF('2. Investicijos'!$N$5:$N$21&gt;('2. Investicijos'!$H$5:$H$21*IF('2. Investicijos'!$G$5:$G$21&lt;=35,30%,40%)),'2. Investicijos'!$N$5:$N$21-('2. Investicijos'!$H$5:$H$21*IF('2. Investicijos'!$G$5:$G$21&lt;=35,30%,40%)),0)),0)</f>
        <v>#VALUE!</v>
      </c>
      <c r="K203" s="62">
        <f>SUM(AC$5:AC$21)</f>
        <v>0</v>
      </c>
      <c r="L203" s="62">
        <f>SUM(S$5:S$21)</f>
        <v>0</v>
      </c>
      <c r="M203" s="62">
        <f>SUM(AM$5:AM$21)</f>
        <v>0</v>
      </c>
      <c r="N203" s="62">
        <f>'3. Finansinės prielaidos'!F30+M203</f>
        <v>0</v>
      </c>
      <c r="O203" s="62">
        <f>'3. Finansinės prielaidos'!F31</f>
        <v>0</v>
      </c>
      <c r="P203" s="62">
        <f>'3. Finansinės prielaidos'!F32</f>
        <v>0</v>
      </c>
      <c r="Q203" s="62" t="e">
        <f t="shared" si="76"/>
        <v>#VALUE!</v>
      </c>
      <c r="R203" s="62" t="e">
        <f>R202+('3. Finansinės prielaidos'!F31-'3. Finansinės prielaidos'!E31)+Q203</f>
        <v>#VALUE!</v>
      </c>
      <c r="S203" s="62" t="e" cm="1">
        <f t="array" ref="S203">SUMPRODUCT(--(2029&gt;'2. Investicijos'!$F$5:$F$21),--(2029&lt;='2. Investicijos'!$F$5:$F$21+'2. Investicijos'!$G$5:$G$21),IFERROR(('2. Investicijos'!$M$5:$M$21+IF('2. Investicijos'!$N$5:$N$21&gt;('2. Investicijos'!$H$5:$H$21*IF('2. Investicijos'!$G$5:$G$21&lt;=35,30%,40%)),'2. Investicijos'!$N$5:$N$21-('2. Investicijos'!$H$5:$H$21*IF('2. Investicijos'!$G$5:$G$21&lt;=35,30%,40%)),0)+('2. Investicijos'!$H$5:$H$21*IF('2. Investicijos'!$G$5:$G$21&lt;=35,30%,40%)))/'2. Investicijos'!$G$5:$G$21,0))+SUMPRODUCT(--(2029&gt;'2. Investicijos'!$F$5:$F$21),--(2029&lt;='2. Investicijos'!$F$5:$F$21+'2. Investicijos'!$G$5:$G$21),IFERROR(('2. Investicijos'!$M$5:$M$21+IF('2. Investicijos'!$N$5:$N$21&gt;('2. Investicijos'!$H$5:$H$21*IF('2. Investicijos'!$G$5:$G$21&lt;=35,30%,40%)),'2. Investicijos'!$N$5:$N$21-('2. Investicijos'!$H$5:$H$21*IF('2. Investicijos'!$G$5:$G$21&lt;=35,30%,40%)),0))*(1-((2029-'2. Investicijos'!$F$5:$F$21)-1)/'2. Investicijos'!$G$5:$G$21),0)*'5. 0% scenarijus'!$C$5)</f>
        <v>#VALUE!</v>
      </c>
      <c r="T203" s="62" t="e">
        <f>'3. Finansinės prielaidos'!F29+S203+G203</f>
        <v>#VALUE!</v>
      </c>
      <c r="U203" s="62" t="e">
        <f t="shared" si="77"/>
        <v>#VALUE!</v>
      </c>
      <c r="V203" s="72" t="e">
        <f t="shared" si="78"/>
        <v>#VALUE!</v>
      </c>
      <c r="W203" s="72" t="e">
        <f t="shared" si="79"/>
        <v>#VALUE!</v>
      </c>
      <c r="X203" s="57" t="e">
        <f t="shared" si="80"/>
        <v>#VALUE!</v>
      </c>
      <c r="Y203" s="57" t="e">
        <f t="shared" si="81"/>
        <v>#VALUE!</v>
      </c>
      <c r="Z203" s="57"/>
      <c r="AA203" s="57"/>
      <c r="AB203" s="57"/>
      <c r="AC203" s="57"/>
      <c r="AD203" s="57"/>
      <c r="AE203" s="57"/>
      <c r="AF203" s="57"/>
      <c r="AG203" s="57"/>
      <c r="AH203" s="57"/>
      <c r="AI203" s="57"/>
      <c r="AJ203" s="57"/>
      <c r="AK203" s="57"/>
      <c r="AL203" s="57"/>
      <c r="AM203" s="57"/>
      <c r="AN203" s="57"/>
      <c r="AO203" s="57"/>
      <c r="AP203" s="57"/>
      <c r="AQ203" s="57"/>
      <c r="AR203" s="57"/>
      <c r="AS203" s="57"/>
    </row>
    <row r="204" spans="1:45">
      <c r="A204" s="57">
        <v>17</v>
      </c>
      <c r="B204" s="57">
        <v>2030</v>
      </c>
      <c r="C204" s="62">
        <f>SUM('4. Metinis CAPEX'!J$9:J$25)</f>
        <v>0</v>
      </c>
      <c r="D204" s="62" cm="1">
        <f t="array" ref="D204">SUMPRODUCT('4. Metinis CAPEX'!J$9:J$25,IFERROR('2. Investicijos'!$N$5:$N$21/'2. Investicijos'!$H$5:$H$21,0))</f>
        <v>0</v>
      </c>
      <c r="E204" s="62" cm="1">
        <f t="array" ref="E204">SUMPRODUCT('4. Metinis CAPEX'!J$9:J$25,IFERROR(('2. Investicijos'!$I$5:$I$21+'2. Investicijos'!$J$5:$J$21+'2. Investicijos'!$K$5:$K$21+'2. Investicijos'!$L$5:$L$21)/'2. Investicijos'!$H$5:$H$21,0))</f>
        <v>0</v>
      </c>
      <c r="F204" s="62" cm="1">
        <f t="array" ref="F204">SUM('2. Investicijos'!$H$5:$H$21*IF('2. Investicijos'!$G$5:$G$21&lt;=35,30%,40%))</f>
        <v>0</v>
      </c>
      <c r="G204" s="62" cm="1">
        <f t="array" ref="G204">IF(AND(2030&gt;=2026,2030&lt;2026+'6. Aprašo scenarijus'!$C$4),SUM('2. Investicijos'!$H$5:$H$21*IF('2. Investicijos'!$G$5:$G$21&lt;=35,30%,40%))/'6. Aprašo scenarijus'!$C$4,0)</f>
        <v>0</v>
      </c>
      <c r="H204" s="62">
        <f t="shared" si="75"/>
        <v>0</v>
      </c>
      <c r="I204" s="62">
        <f>SUM(J$5:J$21)</f>
        <v>0</v>
      </c>
      <c r="J204" s="62" t="e" cm="1">
        <f t="array" ref="J204">K204+L204+MAX(0,-R203)*IFERROR(SUMPRODUCT(IF('2. Investicijos'!$N$5:$N$21&gt;('2. Investicijos'!$H$5:$H$21*IF('2. Investicijos'!$G$5:$G$21&lt;=35,30%,40%)),'2. Investicijos'!$N$5:$N$21-('2. Investicijos'!$H$5:$H$21*IF('2. Investicijos'!$G$5:$G$21&lt;=35,30%,40%)),0),'2. Investicijos'!$O$5:$O$21/100)/SUM(IF('2. Investicijos'!$N$5:$N$21&gt;('2. Investicijos'!$H$5:$H$21*IF('2. Investicijos'!$G$5:$G$21&lt;=35,30%,40%)),'2. Investicijos'!$N$5:$N$21-('2. Investicijos'!$H$5:$H$21*IF('2. Investicijos'!$G$5:$G$21&lt;=35,30%,40%)),0)),0)</f>
        <v>#VALUE!</v>
      </c>
      <c r="K204" s="62">
        <f>SUM(AD$5:AD$21)</f>
        <v>0</v>
      </c>
      <c r="L204" s="62">
        <f>SUM(T$5:T$21)</f>
        <v>0</v>
      </c>
      <c r="M204" s="62">
        <f>SUM(AN$5:AN$21)</f>
        <v>0</v>
      </c>
      <c r="N204" s="62">
        <f>'3. Finansinės prielaidos'!G30+M204</f>
        <v>0</v>
      </c>
      <c r="O204" s="62">
        <f>'3. Finansinės prielaidos'!G31</f>
        <v>0</v>
      </c>
      <c r="P204" s="62">
        <f>'3. Finansinės prielaidos'!G32</f>
        <v>0</v>
      </c>
      <c r="Q204" s="62" t="e">
        <f t="shared" si="76"/>
        <v>#VALUE!</v>
      </c>
      <c r="R204" s="62" t="e">
        <f>R203+('3. Finansinės prielaidos'!G31-'3. Finansinės prielaidos'!F31)+Q204</f>
        <v>#VALUE!</v>
      </c>
      <c r="S204" s="62" t="e" cm="1">
        <f t="array" ref="S204">SUMPRODUCT(--(2030&gt;'2. Investicijos'!$F$5:$F$21),--(2030&lt;='2. Investicijos'!$F$5:$F$21+'2. Investicijos'!$G$5:$G$21),IFERROR(('2. Investicijos'!$M$5:$M$21+IF('2. Investicijos'!$N$5:$N$21&gt;('2. Investicijos'!$H$5:$H$21*IF('2. Investicijos'!$G$5:$G$21&lt;=35,30%,40%)),'2. Investicijos'!$N$5:$N$21-('2. Investicijos'!$H$5:$H$21*IF('2. Investicijos'!$G$5:$G$21&lt;=35,30%,40%)),0)+('2. Investicijos'!$H$5:$H$21*IF('2. Investicijos'!$G$5:$G$21&lt;=35,30%,40%)))/'2. Investicijos'!$G$5:$G$21,0))+SUMPRODUCT(--(2030&gt;'2. Investicijos'!$F$5:$F$21),--(2030&lt;='2. Investicijos'!$F$5:$F$21+'2. Investicijos'!$G$5:$G$21),IFERROR(('2. Investicijos'!$M$5:$M$21+IF('2. Investicijos'!$N$5:$N$21&gt;('2. Investicijos'!$H$5:$H$21*IF('2. Investicijos'!$G$5:$G$21&lt;=35,30%,40%)),'2. Investicijos'!$N$5:$N$21-('2. Investicijos'!$H$5:$H$21*IF('2. Investicijos'!$G$5:$G$21&lt;=35,30%,40%)),0))*(1-((2030-'2. Investicijos'!$F$5:$F$21)-1)/'2. Investicijos'!$G$5:$G$21),0)*'5. 0% scenarijus'!$C$5)</f>
        <v>#VALUE!</v>
      </c>
      <c r="T204" s="62" t="e">
        <f>'3. Finansinės prielaidos'!G29+S204+G204</f>
        <v>#VALUE!</v>
      </c>
      <c r="U204" s="62" t="e">
        <f t="shared" si="77"/>
        <v>#VALUE!</v>
      </c>
      <c r="V204" s="72" t="e">
        <f t="shared" si="78"/>
        <v>#VALUE!</v>
      </c>
      <c r="W204" s="72" t="e">
        <f t="shared" si="79"/>
        <v>#VALUE!</v>
      </c>
      <c r="X204" s="57" t="e">
        <f t="shared" si="80"/>
        <v>#VALUE!</v>
      </c>
      <c r="Y204" s="57" t="e">
        <f t="shared" si="81"/>
        <v>#VALUE!</v>
      </c>
      <c r="Z204" s="57"/>
      <c r="AA204" s="57"/>
      <c r="AB204" s="57"/>
      <c r="AC204" s="57"/>
      <c r="AD204" s="57"/>
      <c r="AE204" s="57"/>
      <c r="AF204" s="57"/>
      <c r="AG204" s="57"/>
      <c r="AH204" s="57"/>
      <c r="AI204" s="57"/>
      <c r="AJ204" s="57"/>
      <c r="AK204" s="57"/>
      <c r="AL204" s="57"/>
      <c r="AM204" s="57"/>
      <c r="AN204" s="57"/>
      <c r="AO204" s="57"/>
      <c r="AP204" s="57"/>
      <c r="AQ204" s="57"/>
      <c r="AR204" s="57"/>
      <c r="AS204" s="57"/>
    </row>
    <row r="205" spans="1:45">
      <c r="A205" s="57">
        <v>17</v>
      </c>
      <c r="B205" s="57">
        <v>2031</v>
      </c>
      <c r="C205" s="62">
        <f>SUM('4. Metinis CAPEX'!K$9:K$25)</f>
        <v>0</v>
      </c>
      <c r="D205" s="62" cm="1">
        <f t="array" ref="D205">SUMPRODUCT('4. Metinis CAPEX'!K$9:K$25,IFERROR('2. Investicijos'!$N$5:$N$21/'2. Investicijos'!$H$5:$H$21,0))</f>
        <v>0</v>
      </c>
      <c r="E205" s="62" cm="1">
        <f t="array" ref="E205">SUMPRODUCT('4. Metinis CAPEX'!K$9:K$25,IFERROR(('2. Investicijos'!$I$5:$I$21+'2. Investicijos'!$J$5:$J$21+'2. Investicijos'!$K$5:$K$21+'2. Investicijos'!$L$5:$L$21)/'2. Investicijos'!$H$5:$H$21,0))</f>
        <v>0</v>
      </c>
      <c r="F205" s="62" cm="1">
        <f t="array" ref="F205">SUM('2. Investicijos'!$H$5:$H$21*IF('2. Investicijos'!$G$5:$G$21&lt;=35,30%,40%))</f>
        <v>0</v>
      </c>
      <c r="G205" s="62" cm="1">
        <f t="array" ref="G205">IF(AND(2031&gt;=2026,2031&lt;2026+'6. Aprašo scenarijus'!$C$4),SUM('2. Investicijos'!$H$5:$H$21*IF('2. Investicijos'!$G$5:$G$21&lt;=35,30%,40%))/'6. Aprašo scenarijus'!$C$4,0)</f>
        <v>0</v>
      </c>
      <c r="H205" s="62">
        <f t="shared" si="75"/>
        <v>0</v>
      </c>
      <c r="I205" s="62">
        <f>SUM(K$5:K$21)</f>
        <v>0</v>
      </c>
      <c r="J205" s="62" t="e" cm="1">
        <f t="array" ref="J205">K205+L205+MAX(0,-R204)*IFERROR(SUMPRODUCT(IF('2. Investicijos'!$N$5:$N$21&gt;('2. Investicijos'!$H$5:$H$21*IF('2. Investicijos'!$G$5:$G$21&lt;=35,30%,40%)),'2. Investicijos'!$N$5:$N$21-('2. Investicijos'!$H$5:$H$21*IF('2. Investicijos'!$G$5:$G$21&lt;=35,30%,40%)),0),'2. Investicijos'!$O$5:$O$21/100)/SUM(IF('2. Investicijos'!$N$5:$N$21&gt;('2. Investicijos'!$H$5:$H$21*IF('2. Investicijos'!$G$5:$G$21&lt;=35,30%,40%)),'2. Investicijos'!$N$5:$N$21-('2. Investicijos'!$H$5:$H$21*IF('2. Investicijos'!$G$5:$G$21&lt;=35,30%,40%)),0)),0)</f>
        <v>#VALUE!</v>
      </c>
      <c r="K205" s="62">
        <f>SUM(AE$5:AE$21)</f>
        <v>0</v>
      </c>
      <c r="L205" s="62">
        <f>SUM(U$5:U$21)</f>
        <v>0</v>
      </c>
      <c r="M205" s="62">
        <f>SUM(AO$5:AO$21)</f>
        <v>0</v>
      </c>
      <c r="N205" s="62">
        <f>'3. Finansinės prielaidos'!H30+M205</f>
        <v>0</v>
      </c>
      <c r="O205" s="62">
        <f>'3. Finansinės prielaidos'!H31</f>
        <v>0</v>
      </c>
      <c r="P205" s="62">
        <f>'3. Finansinės prielaidos'!H32</f>
        <v>0</v>
      </c>
      <c r="Q205" s="62" t="e">
        <f t="shared" si="76"/>
        <v>#VALUE!</v>
      </c>
      <c r="R205" s="62" t="e">
        <f>R204+('3. Finansinės prielaidos'!H31-'3. Finansinės prielaidos'!G31)+Q205</f>
        <v>#VALUE!</v>
      </c>
      <c r="S205" s="62" t="e" cm="1">
        <f t="array" ref="S205">SUMPRODUCT(--(2031&gt;'2. Investicijos'!$F$5:$F$21),--(2031&lt;='2. Investicijos'!$F$5:$F$21+'2. Investicijos'!$G$5:$G$21),IFERROR(('2. Investicijos'!$M$5:$M$21+IF('2. Investicijos'!$N$5:$N$21&gt;('2. Investicijos'!$H$5:$H$21*IF('2. Investicijos'!$G$5:$G$21&lt;=35,30%,40%)),'2. Investicijos'!$N$5:$N$21-('2. Investicijos'!$H$5:$H$21*IF('2. Investicijos'!$G$5:$G$21&lt;=35,30%,40%)),0)+('2. Investicijos'!$H$5:$H$21*IF('2. Investicijos'!$G$5:$G$21&lt;=35,30%,40%)))/'2. Investicijos'!$G$5:$G$21,0))+SUMPRODUCT(--(2031&gt;'2. Investicijos'!$F$5:$F$21),--(2031&lt;='2. Investicijos'!$F$5:$F$21+'2. Investicijos'!$G$5:$G$21),IFERROR(('2. Investicijos'!$M$5:$M$21+IF('2. Investicijos'!$N$5:$N$21&gt;('2. Investicijos'!$H$5:$H$21*IF('2. Investicijos'!$G$5:$G$21&lt;=35,30%,40%)),'2. Investicijos'!$N$5:$N$21-('2. Investicijos'!$H$5:$H$21*IF('2. Investicijos'!$G$5:$G$21&lt;=35,30%,40%)),0))*(1-((2031-'2. Investicijos'!$F$5:$F$21)-1)/'2. Investicijos'!$G$5:$G$21),0)*'5. 0% scenarijus'!$C$5)</f>
        <v>#VALUE!</v>
      </c>
      <c r="T205" s="62" t="e">
        <f>'3. Finansinės prielaidos'!H29+S205+G205</f>
        <v>#VALUE!</v>
      </c>
      <c r="U205" s="62" t="e">
        <f t="shared" si="77"/>
        <v>#VALUE!</v>
      </c>
      <c r="V205" s="72" t="e">
        <f t="shared" si="78"/>
        <v>#VALUE!</v>
      </c>
      <c r="W205" s="72" t="e">
        <f t="shared" si="79"/>
        <v>#VALUE!</v>
      </c>
      <c r="X205" s="57" t="e">
        <f t="shared" si="80"/>
        <v>#VALUE!</v>
      </c>
      <c r="Y205" s="57" t="e">
        <f t="shared" si="81"/>
        <v>#VALUE!</v>
      </c>
      <c r="Z205" s="57"/>
      <c r="AA205" s="57"/>
      <c r="AB205" s="57"/>
      <c r="AC205" s="57"/>
      <c r="AD205" s="57"/>
      <c r="AE205" s="57"/>
      <c r="AF205" s="57"/>
      <c r="AG205" s="57"/>
      <c r="AH205" s="57"/>
      <c r="AI205" s="57"/>
      <c r="AJ205" s="57"/>
      <c r="AK205" s="57"/>
      <c r="AL205" s="57"/>
      <c r="AM205" s="57"/>
      <c r="AN205" s="57"/>
      <c r="AO205" s="57"/>
      <c r="AP205" s="57"/>
      <c r="AQ205" s="57"/>
      <c r="AR205" s="57"/>
      <c r="AS205" s="57"/>
    </row>
    <row r="206" spans="1:45">
      <c r="A206" s="57">
        <v>17</v>
      </c>
      <c r="B206" s="57">
        <v>2032</v>
      </c>
      <c r="C206" s="62">
        <f>SUM('4. Metinis CAPEX'!L$9:L$25)</f>
        <v>0</v>
      </c>
      <c r="D206" s="62" cm="1">
        <f t="array" ref="D206">SUMPRODUCT('4. Metinis CAPEX'!L$9:L$25,IFERROR('2. Investicijos'!$N$5:$N$21/'2. Investicijos'!$H$5:$H$21,0))</f>
        <v>0</v>
      </c>
      <c r="E206" s="62" cm="1">
        <f t="array" ref="E206">SUMPRODUCT('4. Metinis CAPEX'!L$9:L$25,IFERROR(('2. Investicijos'!$I$5:$I$21+'2. Investicijos'!$J$5:$J$21+'2. Investicijos'!$K$5:$K$21+'2. Investicijos'!$L$5:$L$21)/'2. Investicijos'!$H$5:$H$21,0))</f>
        <v>0</v>
      </c>
      <c r="F206" s="62" cm="1">
        <f t="array" ref="F206">SUM('2. Investicijos'!$H$5:$H$21*IF('2. Investicijos'!$G$5:$G$21&lt;=35,30%,40%))</f>
        <v>0</v>
      </c>
      <c r="G206" s="62" cm="1">
        <f t="array" ref="G206">IF(AND(2032&gt;=2026,2032&lt;2026+'6. Aprašo scenarijus'!$C$4),SUM('2. Investicijos'!$H$5:$H$21*IF('2. Investicijos'!$G$5:$G$21&lt;=35,30%,40%))/'6. Aprašo scenarijus'!$C$4,0)</f>
        <v>0</v>
      </c>
      <c r="H206" s="62">
        <f t="shared" si="75"/>
        <v>0</v>
      </c>
      <c r="I206" s="62">
        <f>SUM(L$5:L$21)</f>
        <v>0</v>
      </c>
      <c r="J206" s="62" t="e" cm="1">
        <f t="array" ref="J206">K206+L206+MAX(0,-R205)*IFERROR(SUMPRODUCT(IF('2. Investicijos'!$N$5:$N$21&gt;('2. Investicijos'!$H$5:$H$21*IF('2. Investicijos'!$G$5:$G$21&lt;=35,30%,40%)),'2. Investicijos'!$N$5:$N$21-('2. Investicijos'!$H$5:$H$21*IF('2. Investicijos'!$G$5:$G$21&lt;=35,30%,40%)),0),'2. Investicijos'!$O$5:$O$21/100)/SUM(IF('2. Investicijos'!$N$5:$N$21&gt;('2. Investicijos'!$H$5:$H$21*IF('2. Investicijos'!$G$5:$G$21&lt;=35,30%,40%)),'2. Investicijos'!$N$5:$N$21-('2. Investicijos'!$H$5:$H$21*IF('2. Investicijos'!$G$5:$G$21&lt;=35,30%,40%)),0)),0)</f>
        <v>#VALUE!</v>
      </c>
      <c r="K206" s="62">
        <f>SUM(AF$5:AF$21)</f>
        <v>0</v>
      </c>
      <c r="L206" s="62">
        <f>SUM(V$5:V$21)</f>
        <v>0</v>
      </c>
      <c r="M206" s="62">
        <f>SUM(AP$5:AP$21)</f>
        <v>0</v>
      </c>
      <c r="N206" s="62">
        <f>'3. Finansinės prielaidos'!I30+M206</f>
        <v>0</v>
      </c>
      <c r="O206" s="62">
        <f>'3. Finansinės prielaidos'!I31</f>
        <v>0</v>
      </c>
      <c r="P206" s="62">
        <f>'3. Finansinės prielaidos'!I32</f>
        <v>0</v>
      </c>
      <c r="Q206" s="62" t="e">
        <f t="shared" si="76"/>
        <v>#VALUE!</v>
      </c>
      <c r="R206" s="62" t="e">
        <f>R205+('3. Finansinės prielaidos'!I31-'3. Finansinės prielaidos'!H31)+Q206</f>
        <v>#VALUE!</v>
      </c>
      <c r="S206" s="62" t="e" cm="1">
        <f t="array" ref="S206">SUMPRODUCT(--(2032&gt;'2. Investicijos'!$F$5:$F$21),--(2032&lt;='2. Investicijos'!$F$5:$F$21+'2. Investicijos'!$G$5:$G$21),IFERROR(('2. Investicijos'!$M$5:$M$21+IF('2. Investicijos'!$N$5:$N$21&gt;('2. Investicijos'!$H$5:$H$21*IF('2. Investicijos'!$G$5:$G$21&lt;=35,30%,40%)),'2. Investicijos'!$N$5:$N$21-('2. Investicijos'!$H$5:$H$21*IF('2. Investicijos'!$G$5:$G$21&lt;=35,30%,40%)),0)+('2. Investicijos'!$H$5:$H$21*IF('2. Investicijos'!$G$5:$G$21&lt;=35,30%,40%)))/'2. Investicijos'!$G$5:$G$21,0))+SUMPRODUCT(--(2032&gt;'2. Investicijos'!$F$5:$F$21),--(2032&lt;='2. Investicijos'!$F$5:$F$21+'2. Investicijos'!$G$5:$G$21),IFERROR(('2. Investicijos'!$M$5:$M$21+IF('2. Investicijos'!$N$5:$N$21&gt;('2. Investicijos'!$H$5:$H$21*IF('2. Investicijos'!$G$5:$G$21&lt;=35,30%,40%)),'2. Investicijos'!$N$5:$N$21-('2. Investicijos'!$H$5:$H$21*IF('2. Investicijos'!$G$5:$G$21&lt;=35,30%,40%)),0))*(1-((2032-'2. Investicijos'!$F$5:$F$21)-1)/'2. Investicijos'!$G$5:$G$21),0)*'5. 0% scenarijus'!$C$5)</f>
        <v>#VALUE!</v>
      </c>
      <c r="T206" s="62" t="e">
        <f>'3. Finansinės prielaidos'!I29+S206+G206</f>
        <v>#VALUE!</v>
      </c>
      <c r="U206" s="62" t="e">
        <f t="shared" si="77"/>
        <v>#VALUE!</v>
      </c>
      <c r="V206" s="72" t="e">
        <f t="shared" si="78"/>
        <v>#VALUE!</v>
      </c>
      <c r="W206" s="72" t="e">
        <f t="shared" si="79"/>
        <v>#VALUE!</v>
      </c>
      <c r="X206" s="57" t="e">
        <f t="shared" si="80"/>
        <v>#VALUE!</v>
      </c>
      <c r="Y206" s="57" t="e">
        <f t="shared" si="81"/>
        <v>#VALUE!</v>
      </c>
      <c r="Z206" s="57"/>
      <c r="AA206" s="57"/>
      <c r="AB206" s="57"/>
      <c r="AC206" s="57"/>
      <c r="AD206" s="57"/>
      <c r="AE206" s="57"/>
      <c r="AF206" s="57"/>
      <c r="AG206" s="57"/>
      <c r="AH206" s="57"/>
      <c r="AI206" s="57"/>
      <c r="AJ206" s="57"/>
      <c r="AK206" s="57"/>
      <c r="AL206" s="57"/>
      <c r="AM206" s="57"/>
      <c r="AN206" s="57"/>
      <c r="AO206" s="57"/>
      <c r="AP206" s="57"/>
      <c r="AQ206" s="57"/>
      <c r="AR206" s="57"/>
      <c r="AS206" s="57"/>
    </row>
    <row r="207" spans="1:45">
      <c r="A207" s="57">
        <v>17</v>
      </c>
      <c r="B207" s="57">
        <v>2033</v>
      </c>
      <c r="C207" s="62">
        <f>SUM('4. Metinis CAPEX'!M$9:M$25)</f>
        <v>0</v>
      </c>
      <c r="D207" s="62" cm="1">
        <f t="array" ref="D207">SUMPRODUCT('4. Metinis CAPEX'!M$9:M$25,IFERROR('2. Investicijos'!$N$5:$N$21/'2. Investicijos'!$H$5:$H$21,0))</f>
        <v>0</v>
      </c>
      <c r="E207" s="62" cm="1">
        <f t="array" ref="E207">SUMPRODUCT('4. Metinis CAPEX'!M$9:M$25,IFERROR(('2. Investicijos'!$I$5:$I$21+'2. Investicijos'!$J$5:$J$21+'2. Investicijos'!$K$5:$K$21+'2. Investicijos'!$L$5:$L$21)/'2. Investicijos'!$H$5:$H$21,0))</f>
        <v>0</v>
      </c>
      <c r="F207" s="62" cm="1">
        <f t="array" ref="F207">SUM('2. Investicijos'!$H$5:$H$21*IF('2. Investicijos'!$G$5:$G$21&lt;=35,30%,40%))</f>
        <v>0</v>
      </c>
      <c r="G207" s="62" cm="1">
        <f t="array" ref="G207">IF(AND(2033&gt;=2026,2033&lt;2026+'6. Aprašo scenarijus'!$C$4),SUM('2. Investicijos'!$H$5:$H$21*IF('2. Investicijos'!$G$5:$G$21&lt;=35,30%,40%))/'6. Aprašo scenarijus'!$C$4,0)</f>
        <v>0</v>
      </c>
      <c r="H207" s="62">
        <f t="shared" si="75"/>
        <v>0</v>
      </c>
      <c r="I207" s="62">
        <f>SUM(M$5:M$21)</f>
        <v>0</v>
      </c>
      <c r="J207" s="62" t="e" cm="1">
        <f t="array" ref="J207">K207+L207+MAX(0,-R206)*IFERROR(SUMPRODUCT(IF('2. Investicijos'!$N$5:$N$21&gt;('2. Investicijos'!$H$5:$H$21*IF('2. Investicijos'!$G$5:$G$21&lt;=35,30%,40%)),'2. Investicijos'!$N$5:$N$21-('2. Investicijos'!$H$5:$H$21*IF('2. Investicijos'!$G$5:$G$21&lt;=35,30%,40%)),0),'2. Investicijos'!$O$5:$O$21/100)/SUM(IF('2. Investicijos'!$N$5:$N$21&gt;('2. Investicijos'!$H$5:$H$21*IF('2. Investicijos'!$G$5:$G$21&lt;=35,30%,40%)),'2. Investicijos'!$N$5:$N$21-('2. Investicijos'!$H$5:$H$21*IF('2. Investicijos'!$G$5:$G$21&lt;=35,30%,40%)),0)),0)</f>
        <v>#VALUE!</v>
      </c>
      <c r="K207" s="62">
        <f>SUM(AG$5:AG$21)</f>
        <v>0</v>
      </c>
      <c r="L207" s="62">
        <f>SUM(W$5:W$21)</f>
        <v>0</v>
      </c>
      <c r="M207" s="62">
        <f>SUM(AQ$5:AQ$21)</f>
        <v>0</v>
      </c>
      <c r="N207" s="62">
        <f>'3. Finansinės prielaidos'!J30+M207</f>
        <v>0</v>
      </c>
      <c r="O207" s="62">
        <f>'3. Finansinės prielaidos'!J31</f>
        <v>0</v>
      </c>
      <c r="P207" s="62">
        <f>'3. Finansinės prielaidos'!J32</f>
        <v>0</v>
      </c>
      <c r="Q207" s="62" t="e">
        <f t="shared" si="76"/>
        <v>#VALUE!</v>
      </c>
      <c r="R207" s="62" t="e">
        <f>R206+('3. Finansinės prielaidos'!J31-'3. Finansinės prielaidos'!I31)+Q207</f>
        <v>#VALUE!</v>
      </c>
      <c r="S207" s="62" t="e" cm="1">
        <f t="array" ref="S207">SUMPRODUCT(--(2033&gt;'2. Investicijos'!$F$5:$F$21),--(2033&lt;='2. Investicijos'!$F$5:$F$21+'2. Investicijos'!$G$5:$G$21),IFERROR(('2. Investicijos'!$M$5:$M$21+IF('2. Investicijos'!$N$5:$N$21&gt;('2. Investicijos'!$H$5:$H$21*IF('2. Investicijos'!$G$5:$G$21&lt;=35,30%,40%)),'2. Investicijos'!$N$5:$N$21-('2. Investicijos'!$H$5:$H$21*IF('2. Investicijos'!$G$5:$G$21&lt;=35,30%,40%)),0)+('2. Investicijos'!$H$5:$H$21*IF('2. Investicijos'!$G$5:$G$21&lt;=35,30%,40%)))/'2. Investicijos'!$G$5:$G$21,0))+SUMPRODUCT(--(2033&gt;'2. Investicijos'!$F$5:$F$21),--(2033&lt;='2. Investicijos'!$F$5:$F$21+'2. Investicijos'!$G$5:$G$21),IFERROR(('2. Investicijos'!$M$5:$M$21+IF('2. Investicijos'!$N$5:$N$21&gt;('2. Investicijos'!$H$5:$H$21*IF('2. Investicijos'!$G$5:$G$21&lt;=35,30%,40%)),'2. Investicijos'!$N$5:$N$21-('2. Investicijos'!$H$5:$H$21*IF('2. Investicijos'!$G$5:$G$21&lt;=35,30%,40%)),0))*(1-((2033-'2. Investicijos'!$F$5:$F$21)-1)/'2. Investicijos'!$G$5:$G$21),0)*'5. 0% scenarijus'!$C$5)</f>
        <v>#VALUE!</v>
      </c>
      <c r="T207" s="62" t="e">
        <f>'3. Finansinės prielaidos'!J29+S207+G207</f>
        <v>#VALUE!</v>
      </c>
      <c r="U207" s="62" t="e">
        <f t="shared" si="77"/>
        <v>#VALUE!</v>
      </c>
      <c r="V207" s="72" t="e">
        <f t="shared" si="78"/>
        <v>#VALUE!</v>
      </c>
      <c r="W207" s="72" t="e">
        <f t="shared" si="79"/>
        <v>#VALUE!</v>
      </c>
      <c r="X207" s="57" t="e">
        <f t="shared" si="80"/>
        <v>#VALUE!</v>
      </c>
      <c r="Y207" s="57" t="e">
        <f t="shared" si="81"/>
        <v>#VALUE!</v>
      </c>
      <c r="Z207" s="57"/>
      <c r="AA207" s="57"/>
      <c r="AB207" s="57"/>
      <c r="AC207" s="57"/>
      <c r="AD207" s="57"/>
      <c r="AE207" s="57"/>
      <c r="AF207" s="57"/>
      <c r="AG207" s="57"/>
      <c r="AH207" s="57"/>
      <c r="AI207" s="57"/>
      <c r="AJ207" s="57"/>
      <c r="AK207" s="57"/>
      <c r="AL207" s="57"/>
      <c r="AM207" s="57"/>
      <c r="AN207" s="57"/>
      <c r="AO207" s="57"/>
      <c r="AP207" s="57"/>
      <c r="AQ207" s="57"/>
      <c r="AR207" s="57"/>
      <c r="AS207" s="57"/>
    </row>
    <row r="208" spans="1:45">
      <c r="A208" s="57">
        <v>17</v>
      </c>
      <c r="B208" s="57">
        <v>2034</v>
      </c>
      <c r="C208" s="62">
        <f>SUM('4. Metinis CAPEX'!N$9:N$25)</f>
        <v>0</v>
      </c>
      <c r="D208" s="62" cm="1">
        <f t="array" ref="D208">SUMPRODUCT('4. Metinis CAPEX'!N$9:N$25,IFERROR('2. Investicijos'!$N$5:$N$21/'2. Investicijos'!$H$5:$H$21,0))</f>
        <v>0</v>
      </c>
      <c r="E208" s="62" cm="1">
        <f t="array" ref="E208">SUMPRODUCT('4. Metinis CAPEX'!N$9:N$25,IFERROR(('2. Investicijos'!$I$5:$I$21+'2. Investicijos'!$J$5:$J$21+'2. Investicijos'!$K$5:$K$21+'2. Investicijos'!$L$5:$L$21)/'2. Investicijos'!$H$5:$H$21,0))</f>
        <v>0</v>
      </c>
      <c r="F208" s="62" cm="1">
        <f t="array" ref="F208">SUM('2. Investicijos'!$H$5:$H$21*IF('2. Investicijos'!$G$5:$G$21&lt;=35,30%,40%))</f>
        <v>0</v>
      </c>
      <c r="G208" s="62" cm="1">
        <f t="array" ref="G208">IF(AND(2034&gt;=2026,2034&lt;2026+'6. Aprašo scenarijus'!$C$4),SUM('2. Investicijos'!$H$5:$H$21*IF('2. Investicijos'!$G$5:$G$21&lt;=35,30%,40%))/'6. Aprašo scenarijus'!$C$4,0)</f>
        <v>0</v>
      </c>
      <c r="H208" s="62">
        <f t="shared" si="75"/>
        <v>0</v>
      </c>
      <c r="I208" s="62">
        <f>SUM(N$5:N$21)</f>
        <v>0</v>
      </c>
      <c r="J208" s="62" t="e" cm="1">
        <f t="array" ref="J208">K208+L208+MAX(0,-R207)*IFERROR(SUMPRODUCT(IF('2. Investicijos'!$N$5:$N$21&gt;('2. Investicijos'!$H$5:$H$21*IF('2. Investicijos'!$G$5:$G$21&lt;=35,30%,40%)),'2. Investicijos'!$N$5:$N$21-('2. Investicijos'!$H$5:$H$21*IF('2. Investicijos'!$G$5:$G$21&lt;=35,30%,40%)),0),'2. Investicijos'!$O$5:$O$21/100)/SUM(IF('2. Investicijos'!$N$5:$N$21&gt;('2. Investicijos'!$H$5:$H$21*IF('2. Investicijos'!$G$5:$G$21&lt;=35,30%,40%)),'2. Investicijos'!$N$5:$N$21-('2. Investicijos'!$H$5:$H$21*IF('2. Investicijos'!$G$5:$G$21&lt;=35,30%,40%)),0)),0)</f>
        <v>#VALUE!</v>
      </c>
      <c r="K208" s="62">
        <f>SUM(AH$5:AH$21)</f>
        <v>0</v>
      </c>
      <c r="L208" s="62">
        <f>SUM(X$5:X$21)</f>
        <v>0</v>
      </c>
      <c r="M208" s="62">
        <f>SUM(AR$5:AR$21)</f>
        <v>0</v>
      </c>
      <c r="N208" s="62">
        <f>'3. Finansinės prielaidos'!K30+M208</f>
        <v>0</v>
      </c>
      <c r="O208" s="62">
        <f>'3. Finansinės prielaidos'!K31</f>
        <v>0</v>
      </c>
      <c r="P208" s="62">
        <f>'3. Finansinės prielaidos'!K32</f>
        <v>0</v>
      </c>
      <c r="Q208" s="62" t="e">
        <f t="shared" si="76"/>
        <v>#VALUE!</v>
      </c>
      <c r="R208" s="62" t="e">
        <f>R207+('3. Finansinės prielaidos'!K31-'3. Finansinės prielaidos'!J31)+Q208</f>
        <v>#VALUE!</v>
      </c>
      <c r="S208" s="62" t="e" cm="1">
        <f t="array" ref="S208">SUMPRODUCT(--(2034&gt;'2. Investicijos'!$F$5:$F$21),--(2034&lt;='2. Investicijos'!$F$5:$F$21+'2. Investicijos'!$G$5:$G$21),IFERROR(('2. Investicijos'!$M$5:$M$21+IF('2. Investicijos'!$N$5:$N$21&gt;('2. Investicijos'!$H$5:$H$21*IF('2. Investicijos'!$G$5:$G$21&lt;=35,30%,40%)),'2. Investicijos'!$N$5:$N$21-('2. Investicijos'!$H$5:$H$21*IF('2. Investicijos'!$G$5:$G$21&lt;=35,30%,40%)),0)+('2. Investicijos'!$H$5:$H$21*IF('2. Investicijos'!$G$5:$G$21&lt;=35,30%,40%)))/'2. Investicijos'!$G$5:$G$21,0))+SUMPRODUCT(--(2034&gt;'2. Investicijos'!$F$5:$F$21),--(2034&lt;='2. Investicijos'!$F$5:$F$21+'2. Investicijos'!$G$5:$G$21),IFERROR(('2. Investicijos'!$M$5:$M$21+IF('2. Investicijos'!$N$5:$N$21&gt;('2. Investicijos'!$H$5:$H$21*IF('2. Investicijos'!$G$5:$G$21&lt;=35,30%,40%)),'2. Investicijos'!$N$5:$N$21-('2. Investicijos'!$H$5:$H$21*IF('2. Investicijos'!$G$5:$G$21&lt;=35,30%,40%)),0))*(1-((2034-'2. Investicijos'!$F$5:$F$21)-1)/'2. Investicijos'!$G$5:$G$21),0)*'5. 0% scenarijus'!$C$5)</f>
        <v>#VALUE!</v>
      </c>
      <c r="T208" s="62" t="e">
        <f>'3. Finansinės prielaidos'!K29+S208+G208</f>
        <v>#VALUE!</v>
      </c>
      <c r="U208" s="62" t="e">
        <f t="shared" si="77"/>
        <v>#VALUE!</v>
      </c>
      <c r="V208" s="72" t="e">
        <f t="shared" si="78"/>
        <v>#VALUE!</v>
      </c>
      <c r="W208" s="72" t="e">
        <f t="shared" si="79"/>
        <v>#VALUE!</v>
      </c>
      <c r="X208" s="57" t="e">
        <f t="shared" si="80"/>
        <v>#VALUE!</v>
      </c>
      <c r="Y208" s="57" t="e">
        <f t="shared" si="81"/>
        <v>#VALUE!</v>
      </c>
      <c r="Z208" s="57"/>
      <c r="AA208" s="57"/>
      <c r="AB208" s="57"/>
      <c r="AC208" s="57"/>
      <c r="AD208" s="57"/>
      <c r="AE208" s="57"/>
      <c r="AF208" s="57"/>
      <c r="AG208" s="57"/>
      <c r="AH208" s="57"/>
      <c r="AI208" s="57"/>
      <c r="AJ208" s="57"/>
      <c r="AK208" s="57"/>
      <c r="AL208" s="57"/>
      <c r="AM208" s="57"/>
      <c r="AN208" s="57"/>
      <c r="AO208" s="57"/>
      <c r="AP208" s="57"/>
      <c r="AQ208" s="57"/>
      <c r="AR208" s="57"/>
      <c r="AS208" s="57"/>
    </row>
    <row r="209" spans="1:45">
      <c r="A209" s="57">
        <v>17</v>
      </c>
      <c r="B209" s="57">
        <v>2035</v>
      </c>
      <c r="C209" s="62">
        <f>SUM('4. Metinis CAPEX'!O$9:O$25)</f>
        <v>0</v>
      </c>
      <c r="D209" s="62" cm="1">
        <f t="array" ref="D209">SUMPRODUCT('4. Metinis CAPEX'!O$9:O$25,IFERROR('2. Investicijos'!$N$5:$N$21/'2. Investicijos'!$H$5:$H$21,0))</f>
        <v>0</v>
      </c>
      <c r="E209" s="62" cm="1">
        <f t="array" ref="E209">SUMPRODUCT('4. Metinis CAPEX'!O$9:O$25,IFERROR(('2. Investicijos'!$I$5:$I$21+'2. Investicijos'!$J$5:$J$21+'2. Investicijos'!$K$5:$K$21+'2. Investicijos'!$L$5:$L$21)/'2. Investicijos'!$H$5:$H$21,0))</f>
        <v>0</v>
      </c>
      <c r="F209" s="62" cm="1">
        <f t="array" ref="F209">SUM('2. Investicijos'!$H$5:$H$21*IF('2. Investicijos'!$G$5:$G$21&lt;=35,30%,40%))</f>
        <v>0</v>
      </c>
      <c r="G209" s="62" cm="1">
        <f t="array" ref="G209">IF(AND(2035&gt;=2026,2035&lt;2026+'6. Aprašo scenarijus'!$C$4),SUM('2. Investicijos'!$H$5:$H$21*IF('2. Investicijos'!$G$5:$G$21&lt;=35,30%,40%))/'6. Aprašo scenarijus'!$C$4,0)</f>
        <v>0</v>
      </c>
      <c r="H209" s="62">
        <f t="shared" si="75"/>
        <v>0</v>
      </c>
      <c r="I209" s="62">
        <f>SUM(O$5:O$21)</f>
        <v>0</v>
      </c>
      <c r="J209" s="62" t="e" cm="1">
        <f t="array" ref="J209">K209+L209+MAX(0,-R208)*IFERROR(SUMPRODUCT(IF('2. Investicijos'!$N$5:$N$21&gt;('2. Investicijos'!$H$5:$H$21*IF('2. Investicijos'!$G$5:$G$21&lt;=35,30%,40%)),'2. Investicijos'!$N$5:$N$21-('2. Investicijos'!$H$5:$H$21*IF('2. Investicijos'!$G$5:$G$21&lt;=35,30%,40%)),0),'2. Investicijos'!$O$5:$O$21/100)/SUM(IF('2. Investicijos'!$N$5:$N$21&gt;('2. Investicijos'!$H$5:$H$21*IF('2. Investicijos'!$G$5:$G$21&lt;=35,30%,40%)),'2. Investicijos'!$N$5:$N$21-('2. Investicijos'!$H$5:$H$21*IF('2. Investicijos'!$G$5:$G$21&lt;=35,30%,40%)),0)),0)</f>
        <v>#VALUE!</v>
      </c>
      <c r="K209" s="62">
        <f>SUM(AI$5:AI$21)</f>
        <v>0</v>
      </c>
      <c r="L209" s="62">
        <f>SUM(Y$5:Y$21)</f>
        <v>0</v>
      </c>
      <c r="M209" s="62">
        <f>SUM(AS$5:AS$21)</f>
        <v>0</v>
      </c>
      <c r="N209" s="62">
        <f>'3. Finansinės prielaidos'!L30+M209</f>
        <v>0</v>
      </c>
      <c r="O209" s="62">
        <f>'3. Finansinės prielaidos'!L31</f>
        <v>0</v>
      </c>
      <c r="P209" s="62">
        <f>'3. Finansinės prielaidos'!L32</f>
        <v>0</v>
      </c>
      <c r="Q209" s="62" t="e">
        <f t="shared" si="76"/>
        <v>#VALUE!</v>
      </c>
      <c r="R209" s="62" t="e">
        <f>R208+('3. Finansinės prielaidos'!L31-'3. Finansinės prielaidos'!K31)+Q209</f>
        <v>#VALUE!</v>
      </c>
      <c r="S209" s="62" t="e" cm="1">
        <f t="array" ref="S209">SUMPRODUCT(--(2035&gt;'2. Investicijos'!$F$5:$F$21),--(2035&lt;='2. Investicijos'!$F$5:$F$21+'2. Investicijos'!$G$5:$G$21),IFERROR(('2. Investicijos'!$M$5:$M$21+IF('2. Investicijos'!$N$5:$N$21&gt;('2. Investicijos'!$H$5:$H$21*IF('2. Investicijos'!$G$5:$G$21&lt;=35,30%,40%)),'2. Investicijos'!$N$5:$N$21-('2. Investicijos'!$H$5:$H$21*IF('2. Investicijos'!$G$5:$G$21&lt;=35,30%,40%)),0)+('2. Investicijos'!$H$5:$H$21*IF('2. Investicijos'!$G$5:$G$21&lt;=35,30%,40%)))/'2. Investicijos'!$G$5:$G$21,0))+SUMPRODUCT(--(2035&gt;'2. Investicijos'!$F$5:$F$21),--(2035&lt;='2. Investicijos'!$F$5:$F$21+'2. Investicijos'!$G$5:$G$21),IFERROR(('2. Investicijos'!$M$5:$M$21+IF('2. Investicijos'!$N$5:$N$21&gt;('2. Investicijos'!$H$5:$H$21*IF('2. Investicijos'!$G$5:$G$21&lt;=35,30%,40%)),'2. Investicijos'!$N$5:$N$21-('2. Investicijos'!$H$5:$H$21*IF('2. Investicijos'!$G$5:$G$21&lt;=35,30%,40%)),0))*(1-((2035-'2. Investicijos'!$F$5:$F$21)-1)/'2. Investicijos'!$G$5:$G$21),0)*'5. 0% scenarijus'!$C$5)</f>
        <v>#VALUE!</v>
      </c>
      <c r="T209" s="62" t="e">
        <f>'3. Finansinės prielaidos'!L29+S209+G209</f>
        <v>#VALUE!</v>
      </c>
      <c r="U209" s="62" t="e">
        <f t="shared" si="77"/>
        <v>#VALUE!</v>
      </c>
      <c r="V209" s="72" t="e">
        <f t="shared" si="78"/>
        <v>#VALUE!</v>
      </c>
      <c r="W209" s="72" t="e">
        <f t="shared" si="79"/>
        <v>#VALUE!</v>
      </c>
      <c r="X209" s="57" t="e">
        <f t="shared" si="80"/>
        <v>#VALUE!</v>
      </c>
      <c r="Y209" s="57" t="e">
        <f t="shared" si="81"/>
        <v>#VALUE!</v>
      </c>
      <c r="Z209" s="57"/>
      <c r="AA209" s="57"/>
      <c r="AB209" s="57"/>
      <c r="AC209" s="57"/>
      <c r="AD209" s="57"/>
      <c r="AE209" s="57"/>
      <c r="AF209" s="57"/>
      <c r="AG209" s="57"/>
      <c r="AH209" s="57"/>
      <c r="AI209" s="57"/>
      <c r="AJ209" s="57"/>
      <c r="AK209" s="57"/>
      <c r="AL209" s="57"/>
      <c r="AM209" s="57"/>
      <c r="AN209" s="57"/>
      <c r="AO209" s="57"/>
      <c r="AP209" s="57"/>
      <c r="AQ209" s="57"/>
      <c r="AR209" s="57"/>
      <c r="AS209" s="57"/>
    </row>
    <row r="210" spans="1:45">
      <c r="A210" s="57">
        <v>18</v>
      </c>
      <c r="B210" s="57">
        <v>2026</v>
      </c>
      <c r="C210" s="62">
        <f>SUM('4. Metinis CAPEX'!F$9:F$26)</f>
        <v>0</v>
      </c>
      <c r="D210" s="62" cm="1">
        <f t="array" ref="D210">SUMPRODUCT('4. Metinis CAPEX'!F$9:F$26,IFERROR('2. Investicijos'!$N$5:$N$22/'2. Investicijos'!$H$5:$H$22,0))</f>
        <v>0</v>
      </c>
      <c r="E210" s="62" cm="1">
        <f t="array" ref="E210">SUMPRODUCT('4. Metinis CAPEX'!F$9:F$26,IFERROR(('2. Investicijos'!$I$5:$I$22+'2. Investicijos'!$J$5:$J$22+'2. Investicijos'!$K$5:$K$22+'2. Investicijos'!$L$5:$L$22)/'2. Investicijos'!$H$5:$H$22,0))</f>
        <v>0</v>
      </c>
      <c r="F210" s="62" cm="1">
        <f t="array" ref="F210">SUM('2. Investicijos'!$H$5:$H$22*IF('2. Investicijos'!$G$5:$G$22&lt;=35,30%,40%))</f>
        <v>0</v>
      </c>
      <c r="G210" s="62" cm="1">
        <f t="array" ref="G210">IF(AND(2026&gt;=2026,2026&lt;2026+'6. Aprašo scenarijus'!$C$4),SUM('2. Investicijos'!$H$5:$H$22*IF('2. Investicijos'!$G$5:$G$22&lt;=35,30%,40%))/'6. Aprašo scenarijus'!$C$4,0)</f>
        <v>0</v>
      </c>
      <c r="H210" s="62">
        <f t="shared" si="75"/>
        <v>0</v>
      </c>
      <c r="I210" s="62">
        <f>SUM(F$5:F$22)</f>
        <v>0</v>
      </c>
      <c r="J210" s="62">
        <f>0</f>
        <v>0</v>
      </c>
      <c r="K210" s="62">
        <f>SUM(Z$5:Z$22)</f>
        <v>0</v>
      </c>
      <c r="L210" s="62">
        <f>SUM(P$5:P$22)</f>
        <v>0</v>
      </c>
      <c r="M210" s="62">
        <f>SUM(AJ$5:AJ$22)</f>
        <v>0</v>
      </c>
      <c r="N210" s="62">
        <f>'3. Finansinės prielaidos'!C30+M210</f>
        <v>0</v>
      </c>
      <c r="O210" s="62">
        <f>'3. Finansinės prielaidos'!C31</f>
        <v>0</v>
      </c>
      <c r="P210" s="62">
        <f>'3. Finansinės prielaidos'!C32</f>
        <v>0</v>
      </c>
      <c r="Q210" s="62" t="e">
        <f t="shared" si="76"/>
        <v>#VALUE!</v>
      </c>
      <c r="R210" s="62" t="e">
        <f>O210+Q210</f>
        <v>#VALUE!</v>
      </c>
      <c r="S210" s="62" t="e" cm="1">
        <f t="array" ref="S210">SUMPRODUCT(--(2026&gt;'2. Investicijos'!$F$5:$F$22),--(2026&lt;='2. Investicijos'!$F$5:$F$22+'2. Investicijos'!$G$5:$G$22),IFERROR(('2. Investicijos'!$M$5:$M$22+IF('2. Investicijos'!$N$5:$N$22&gt;('2. Investicijos'!$H$5:$H$22*IF('2. Investicijos'!$G$5:$G$22&lt;=35,30%,40%)),'2. Investicijos'!$N$5:$N$22-('2. Investicijos'!$H$5:$H$22*IF('2. Investicijos'!$G$5:$G$22&lt;=35,30%,40%)),0)+('2. Investicijos'!$H$5:$H$22*IF('2. Investicijos'!$G$5:$G$22&lt;=35,30%,40%)))/'2. Investicijos'!$G$5:$G$22,0))+SUMPRODUCT(--(2026&gt;'2. Investicijos'!$F$5:$F$22),--(2026&lt;='2. Investicijos'!$F$5:$F$22+'2. Investicijos'!$G$5:$G$22),IFERROR(('2. Investicijos'!$M$5:$M$22+IF('2. Investicijos'!$N$5:$N$22&gt;('2. Investicijos'!$H$5:$H$22*IF('2. Investicijos'!$G$5:$G$22&lt;=35,30%,40%)),'2. Investicijos'!$N$5:$N$22-('2. Investicijos'!$H$5:$H$22*IF('2. Investicijos'!$G$5:$G$22&lt;=35,30%,40%)),0))*(1-((2026-'2. Investicijos'!$F$5:$F$22)-1)/'2. Investicijos'!$G$5:$G$22),0)*'5. 0% scenarijus'!$C$5)</f>
        <v>#VALUE!</v>
      </c>
      <c r="T210" s="62" t="e">
        <f>'3. Finansinės prielaidos'!C29+S210+G210</f>
        <v>#VALUE!</v>
      </c>
      <c r="U210" s="62" t="e">
        <f t="shared" si="77"/>
        <v>#VALUE!</v>
      </c>
      <c r="V210" s="72" t="e">
        <f t="shared" si="78"/>
        <v>#VALUE!</v>
      </c>
      <c r="W210" s="72" t="e">
        <f t="shared" si="79"/>
        <v>#VALUE!</v>
      </c>
      <c r="X210" s="57" t="e">
        <f t="shared" si="80"/>
        <v>#VALUE!</v>
      </c>
      <c r="Y210" s="57" t="e">
        <f t="shared" si="81"/>
        <v>#VALUE!</v>
      </c>
      <c r="Z210" s="57"/>
      <c r="AA210" s="57"/>
      <c r="AB210" s="57"/>
      <c r="AC210" s="57"/>
      <c r="AD210" s="57"/>
      <c r="AE210" s="57"/>
      <c r="AF210" s="57"/>
      <c r="AG210" s="57"/>
      <c r="AH210" s="57"/>
      <c r="AI210" s="57"/>
      <c r="AJ210" s="57"/>
      <c r="AK210" s="57"/>
      <c r="AL210" s="57"/>
      <c r="AM210" s="57"/>
      <c r="AN210" s="57"/>
      <c r="AO210" s="57"/>
      <c r="AP210" s="57"/>
      <c r="AQ210" s="57"/>
      <c r="AR210" s="57"/>
      <c r="AS210" s="57"/>
    </row>
    <row r="211" spans="1:45">
      <c r="A211" s="57">
        <v>18</v>
      </c>
      <c r="B211" s="57">
        <v>2027</v>
      </c>
      <c r="C211" s="62">
        <f>SUM('4. Metinis CAPEX'!G$9:G$26)</f>
        <v>0</v>
      </c>
      <c r="D211" s="62" cm="1">
        <f t="array" ref="D211">SUMPRODUCT('4. Metinis CAPEX'!G$9:G$26,IFERROR('2. Investicijos'!$N$5:$N$22/'2. Investicijos'!$H$5:$H$22,0))</f>
        <v>0</v>
      </c>
      <c r="E211" s="62" cm="1">
        <f t="array" ref="E211">SUMPRODUCT('4. Metinis CAPEX'!G$9:G$26,IFERROR(('2. Investicijos'!$I$5:$I$22+'2. Investicijos'!$J$5:$J$22+'2. Investicijos'!$K$5:$K$22+'2. Investicijos'!$L$5:$L$22)/'2. Investicijos'!$H$5:$H$22,0))</f>
        <v>0</v>
      </c>
      <c r="F211" s="62" cm="1">
        <f t="array" ref="F211">SUM('2. Investicijos'!$H$5:$H$22*IF('2. Investicijos'!$G$5:$G$22&lt;=35,30%,40%))</f>
        <v>0</v>
      </c>
      <c r="G211" s="62" cm="1">
        <f t="array" ref="G211">IF(AND(2027&gt;=2026,2027&lt;2026+'6. Aprašo scenarijus'!$C$4),SUM('2. Investicijos'!$H$5:$H$22*IF('2. Investicijos'!$G$5:$G$22&lt;=35,30%,40%))/'6. Aprašo scenarijus'!$C$4,0)</f>
        <v>0</v>
      </c>
      <c r="H211" s="62">
        <f t="shared" si="75"/>
        <v>0</v>
      </c>
      <c r="I211" s="62">
        <f>SUM(G$5:G$22)</f>
        <v>0</v>
      </c>
      <c r="J211" s="62" t="e" cm="1">
        <f t="array" ref="J211">K211+L211+MAX(0,-R210)*IFERROR(SUMPRODUCT(IF('2. Investicijos'!$N$5:$N$22&gt;('2. Investicijos'!$H$5:$H$22*IF('2. Investicijos'!$G$5:$G$22&lt;=35,30%,40%)),'2. Investicijos'!$N$5:$N$22-('2. Investicijos'!$H$5:$H$22*IF('2. Investicijos'!$G$5:$G$22&lt;=35,30%,40%)),0),'2. Investicijos'!$O$5:$O$22/100)/SUM(IF('2. Investicijos'!$N$5:$N$22&gt;('2. Investicijos'!$H$5:$H$22*IF('2. Investicijos'!$G$5:$G$22&lt;=35,30%,40%)),'2. Investicijos'!$N$5:$N$22-('2. Investicijos'!$H$5:$H$22*IF('2. Investicijos'!$G$5:$G$22&lt;=35,30%,40%)),0)),0)</f>
        <v>#VALUE!</v>
      </c>
      <c r="K211" s="62">
        <f>SUM(AA$5:AA$22)</f>
        <v>0</v>
      </c>
      <c r="L211" s="62">
        <f>SUM(Q$5:Q$22)</f>
        <v>0</v>
      </c>
      <c r="M211" s="62">
        <f>SUM(AK$5:AK$22)</f>
        <v>0</v>
      </c>
      <c r="N211" s="62">
        <f>'3. Finansinės prielaidos'!D30+M211</f>
        <v>0</v>
      </c>
      <c r="O211" s="62">
        <f>'3. Finansinės prielaidos'!D31</f>
        <v>0</v>
      </c>
      <c r="P211" s="62">
        <f>'3. Finansinės prielaidos'!D32</f>
        <v>0</v>
      </c>
      <c r="Q211" s="62" t="e">
        <f t="shared" si="76"/>
        <v>#VALUE!</v>
      </c>
      <c r="R211" s="62" t="e">
        <f>R210+('3. Finansinės prielaidos'!D31-'3. Finansinės prielaidos'!C31)+Q211</f>
        <v>#VALUE!</v>
      </c>
      <c r="S211" s="62" t="e" cm="1">
        <f t="array" ref="S211">SUMPRODUCT(--(2027&gt;'2. Investicijos'!$F$5:$F$22),--(2027&lt;='2. Investicijos'!$F$5:$F$22+'2. Investicijos'!$G$5:$G$22),IFERROR(('2. Investicijos'!$M$5:$M$22+IF('2. Investicijos'!$N$5:$N$22&gt;('2. Investicijos'!$H$5:$H$22*IF('2. Investicijos'!$G$5:$G$22&lt;=35,30%,40%)),'2. Investicijos'!$N$5:$N$22-('2. Investicijos'!$H$5:$H$22*IF('2. Investicijos'!$G$5:$G$22&lt;=35,30%,40%)),0)+('2. Investicijos'!$H$5:$H$22*IF('2. Investicijos'!$G$5:$G$22&lt;=35,30%,40%)))/'2. Investicijos'!$G$5:$G$22,0))+SUMPRODUCT(--(2027&gt;'2. Investicijos'!$F$5:$F$22),--(2027&lt;='2. Investicijos'!$F$5:$F$22+'2. Investicijos'!$G$5:$G$22),IFERROR(('2. Investicijos'!$M$5:$M$22+IF('2. Investicijos'!$N$5:$N$22&gt;('2. Investicijos'!$H$5:$H$22*IF('2. Investicijos'!$G$5:$G$22&lt;=35,30%,40%)),'2. Investicijos'!$N$5:$N$22-('2. Investicijos'!$H$5:$H$22*IF('2. Investicijos'!$G$5:$G$22&lt;=35,30%,40%)),0))*(1-((2027-'2. Investicijos'!$F$5:$F$22)-1)/'2. Investicijos'!$G$5:$G$22),0)*'5. 0% scenarijus'!$C$5)</f>
        <v>#VALUE!</v>
      </c>
      <c r="T211" s="62" t="e">
        <f>'3. Finansinės prielaidos'!D29+S211+G211</f>
        <v>#VALUE!</v>
      </c>
      <c r="U211" s="62" t="e">
        <f t="shared" si="77"/>
        <v>#VALUE!</v>
      </c>
      <c r="V211" s="72" t="e">
        <f t="shared" si="78"/>
        <v>#VALUE!</v>
      </c>
      <c r="W211" s="72" t="e">
        <f t="shared" si="79"/>
        <v>#VALUE!</v>
      </c>
      <c r="X211" s="57" t="e">
        <f t="shared" si="80"/>
        <v>#VALUE!</v>
      </c>
      <c r="Y211" s="57" t="e">
        <f t="shared" si="81"/>
        <v>#VALUE!</v>
      </c>
      <c r="Z211" s="57"/>
      <c r="AA211" s="57"/>
      <c r="AB211" s="57"/>
      <c r="AC211" s="57"/>
      <c r="AD211" s="57"/>
      <c r="AE211" s="57"/>
      <c r="AF211" s="57"/>
      <c r="AG211" s="57"/>
      <c r="AH211" s="57"/>
      <c r="AI211" s="57"/>
      <c r="AJ211" s="57"/>
      <c r="AK211" s="57"/>
      <c r="AL211" s="57"/>
      <c r="AM211" s="57"/>
      <c r="AN211" s="57"/>
      <c r="AO211" s="57"/>
      <c r="AP211" s="57"/>
      <c r="AQ211" s="57"/>
      <c r="AR211" s="57"/>
      <c r="AS211" s="57"/>
    </row>
    <row r="212" spans="1:45">
      <c r="A212" s="57">
        <v>18</v>
      </c>
      <c r="B212" s="57">
        <v>2028</v>
      </c>
      <c r="C212" s="62">
        <f>SUM('4. Metinis CAPEX'!H$9:H$26)</f>
        <v>0</v>
      </c>
      <c r="D212" s="62" cm="1">
        <f t="array" ref="D212">SUMPRODUCT('4. Metinis CAPEX'!H$9:H$26,IFERROR('2. Investicijos'!$N$5:$N$22/'2. Investicijos'!$H$5:$H$22,0))</f>
        <v>0</v>
      </c>
      <c r="E212" s="62" cm="1">
        <f t="array" ref="E212">SUMPRODUCT('4. Metinis CAPEX'!H$9:H$26,IFERROR(('2. Investicijos'!$I$5:$I$22+'2. Investicijos'!$J$5:$J$22+'2. Investicijos'!$K$5:$K$22+'2. Investicijos'!$L$5:$L$22)/'2. Investicijos'!$H$5:$H$22,0))</f>
        <v>0</v>
      </c>
      <c r="F212" s="62" cm="1">
        <f t="array" ref="F212">SUM('2. Investicijos'!$H$5:$H$22*IF('2. Investicijos'!$G$5:$G$22&lt;=35,30%,40%))</f>
        <v>0</v>
      </c>
      <c r="G212" s="62" cm="1">
        <f t="array" ref="G212">IF(AND(2028&gt;=2026,2028&lt;2026+'6. Aprašo scenarijus'!$C$4),SUM('2. Investicijos'!$H$5:$H$22*IF('2. Investicijos'!$G$5:$G$22&lt;=35,30%,40%))/'6. Aprašo scenarijus'!$C$4,0)</f>
        <v>0</v>
      </c>
      <c r="H212" s="62">
        <f t="shared" si="75"/>
        <v>0</v>
      </c>
      <c r="I212" s="62">
        <f>SUM(H$5:H$22)</f>
        <v>0</v>
      </c>
      <c r="J212" s="62" t="e" cm="1">
        <f t="array" ref="J212">K212+L212+MAX(0,-R211)*IFERROR(SUMPRODUCT(IF('2. Investicijos'!$N$5:$N$22&gt;('2. Investicijos'!$H$5:$H$22*IF('2. Investicijos'!$G$5:$G$22&lt;=35,30%,40%)),'2. Investicijos'!$N$5:$N$22-('2. Investicijos'!$H$5:$H$22*IF('2. Investicijos'!$G$5:$G$22&lt;=35,30%,40%)),0),'2. Investicijos'!$O$5:$O$22/100)/SUM(IF('2. Investicijos'!$N$5:$N$22&gt;('2. Investicijos'!$H$5:$H$22*IF('2. Investicijos'!$G$5:$G$22&lt;=35,30%,40%)),'2. Investicijos'!$N$5:$N$22-('2. Investicijos'!$H$5:$H$22*IF('2. Investicijos'!$G$5:$G$22&lt;=35,30%,40%)),0)),0)</f>
        <v>#VALUE!</v>
      </c>
      <c r="K212" s="62">
        <f>SUM(AB$5:AB$22)</f>
        <v>0</v>
      </c>
      <c r="L212" s="62">
        <f>SUM(R$5:R$22)</f>
        <v>0</v>
      </c>
      <c r="M212" s="62">
        <f>SUM(AL$5:AL$22)</f>
        <v>0</v>
      </c>
      <c r="N212" s="62">
        <f>'3. Finansinės prielaidos'!E30+M212</f>
        <v>0</v>
      </c>
      <c r="O212" s="62">
        <f>'3. Finansinės prielaidos'!E31</f>
        <v>0</v>
      </c>
      <c r="P212" s="62">
        <f>'3. Finansinės prielaidos'!E32</f>
        <v>0</v>
      </c>
      <c r="Q212" s="62" t="e">
        <f t="shared" si="76"/>
        <v>#VALUE!</v>
      </c>
      <c r="R212" s="62" t="e">
        <f>R211+('3. Finansinės prielaidos'!E31-'3. Finansinės prielaidos'!D31)+Q212</f>
        <v>#VALUE!</v>
      </c>
      <c r="S212" s="62" t="e" cm="1">
        <f t="array" ref="S212">SUMPRODUCT(--(2028&gt;'2. Investicijos'!$F$5:$F$22),--(2028&lt;='2. Investicijos'!$F$5:$F$22+'2. Investicijos'!$G$5:$G$22),IFERROR(('2. Investicijos'!$M$5:$M$22+IF('2. Investicijos'!$N$5:$N$22&gt;('2. Investicijos'!$H$5:$H$22*IF('2. Investicijos'!$G$5:$G$22&lt;=35,30%,40%)),'2. Investicijos'!$N$5:$N$22-('2. Investicijos'!$H$5:$H$22*IF('2. Investicijos'!$G$5:$G$22&lt;=35,30%,40%)),0)+('2. Investicijos'!$H$5:$H$22*IF('2. Investicijos'!$G$5:$G$22&lt;=35,30%,40%)))/'2. Investicijos'!$G$5:$G$22,0))+SUMPRODUCT(--(2028&gt;'2. Investicijos'!$F$5:$F$22),--(2028&lt;='2. Investicijos'!$F$5:$F$22+'2. Investicijos'!$G$5:$G$22),IFERROR(('2. Investicijos'!$M$5:$M$22+IF('2. Investicijos'!$N$5:$N$22&gt;('2. Investicijos'!$H$5:$H$22*IF('2. Investicijos'!$G$5:$G$22&lt;=35,30%,40%)),'2. Investicijos'!$N$5:$N$22-('2. Investicijos'!$H$5:$H$22*IF('2. Investicijos'!$G$5:$G$22&lt;=35,30%,40%)),0))*(1-((2028-'2. Investicijos'!$F$5:$F$22)-1)/'2. Investicijos'!$G$5:$G$22),0)*'5. 0% scenarijus'!$C$5)</f>
        <v>#VALUE!</v>
      </c>
      <c r="T212" s="62" t="e">
        <f>'3. Finansinės prielaidos'!E29+S212+G212</f>
        <v>#VALUE!</v>
      </c>
      <c r="U212" s="62" t="e">
        <f t="shared" si="77"/>
        <v>#VALUE!</v>
      </c>
      <c r="V212" s="72" t="e">
        <f t="shared" si="78"/>
        <v>#VALUE!</v>
      </c>
      <c r="W212" s="72" t="e">
        <f t="shared" si="79"/>
        <v>#VALUE!</v>
      </c>
      <c r="X212" s="57" t="e">
        <f t="shared" si="80"/>
        <v>#VALUE!</v>
      </c>
      <c r="Y212" s="57" t="e">
        <f t="shared" si="81"/>
        <v>#VALUE!</v>
      </c>
      <c r="Z212" s="57"/>
      <c r="AA212" s="57"/>
      <c r="AB212" s="57"/>
      <c r="AC212" s="57"/>
      <c r="AD212" s="57"/>
      <c r="AE212" s="57"/>
      <c r="AF212" s="57"/>
      <c r="AG212" s="57"/>
      <c r="AH212" s="57"/>
      <c r="AI212" s="57"/>
      <c r="AJ212" s="57"/>
      <c r="AK212" s="57"/>
      <c r="AL212" s="57"/>
      <c r="AM212" s="57"/>
      <c r="AN212" s="57"/>
      <c r="AO212" s="57"/>
      <c r="AP212" s="57"/>
      <c r="AQ212" s="57"/>
      <c r="AR212" s="57"/>
      <c r="AS212" s="57"/>
    </row>
    <row r="213" spans="1:45">
      <c r="A213" s="57">
        <v>18</v>
      </c>
      <c r="B213" s="57">
        <v>2029</v>
      </c>
      <c r="C213" s="62">
        <f>SUM('4. Metinis CAPEX'!I$9:I$26)</f>
        <v>0</v>
      </c>
      <c r="D213" s="62" cm="1">
        <f t="array" ref="D213">SUMPRODUCT('4. Metinis CAPEX'!I$9:I$26,IFERROR('2. Investicijos'!$N$5:$N$22/'2. Investicijos'!$H$5:$H$22,0))</f>
        <v>0</v>
      </c>
      <c r="E213" s="62" cm="1">
        <f t="array" ref="E213">SUMPRODUCT('4. Metinis CAPEX'!I$9:I$26,IFERROR(('2. Investicijos'!$I$5:$I$22+'2. Investicijos'!$J$5:$J$22+'2. Investicijos'!$K$5:$K$22+'2. Investicijos'!$L$5:$L$22)/'2. Investicijos'!$H$5:$H$22,0))</f>
        <v>0</v>
      </c>
      <c r="F213" s="62" cm="1">
        <f t="array" ref="F213">SUM('2. Investicijos'!$H$5:$H$22*IF('2. Investicijos'!$G$5:$G$22&lt;=35,30%,40%))</f>
        <v>0</v>
      </c>
      <c r="G213" s="62" cm="1">
        <f t="array" ref="G213">IF(AND(2029&gt;=2026,2029&lt;2026+'6. Aprašo scenarijus'!$C$4),SUM('2. Investicijos'!$H$5:$H$22*IF('2. Investicijos'!$G$5:$G$22&lt;=35,30%,40%))/'6. Aprašo scenarijus'!$C$4,0)</f>
        <v>0</v>
      </c>
      <c r="H213" s="62">
        <f t="shared" si="75"/>
        <v>0</v>
      </c>
      <c r="I213" s="62">
        <f>SUM(I$5:I$22)</f>
        <v>0</v>
      </c>
      <c r="J213" s="62" t="e" cm="1">
        <f t="array" ref="J213">K213+L213+MAX(0,-R212)*IFERROR(SUMPRODUCT(IF('2. Investicijos'!$N$5:$N$22&gt;('2. Investicijos'!$H$5:$H$22*IF('2. Investicijos'!$G$5:$G$22&lt;=35,30%,40%)),'2. Investicijos'!$N$5:$N$22-('2. Investicijos'!$H$5:$H$22*IF('2. Investicijos'!$G$5:$G$22&lt;=35,30%,40%)),0),'2. Investicijos'!$O$5:$O$22/100)/SUM(IF('2. Investicijos'!$N$5:$N$22&gt;('2. Investicijos'!$H$5:$H$22*IF('2. Investicijos'!$G$5:$G$22&lt;=35,30%,40%)),'2. Investicijos'!$N$5:$N$22-('2. Investicijos'!$H$5:$H$22*IF('2. Investicijos'!$G$5:$G$22&lt;=35,30%,40%)),0)),0)</f>
        <v>#VALUE!</v>
      </c>
      <c r="K213" s="62">
        <f>SUM(AC$5:AC$22)</f>
        <v>0</v>
      </c>
      <c r="L213" s="62">
        <f>SUM(S$5:S$22)</f>
        <v>0</v>
      </c>
      <c r="M213" s="62">
        <f>SUM(AM$5:AM$22)</f>
        <v>0</v>
      </c>
      <c r="N213" s="62">
        <f>'3. Finansinės prielaidos'!F30+M213</f>
        <v>0</v>
      </c>
      <c r="O213" s="62">
        <f>'3. Finansinės prielaidos'!F31</f>
        <v>0</v>
      </c>
      <c r="P213" s="62">
        <f>'3. Finansinės prielaidos'!F32</f>
        <v>0</v>
      </c>
      <c r="Q213" s="62" t="e">
        <f t="shared" si="76"/>
        <v>#VALUE!</v>
      </c>
      <c r="R213" s="62" t="e">
        <f>R212+('3. Finansinės prielaidos'!F31-'3. Finansinės prielaidos'!E31)+Q213</f>
        <v>#VALUE!</v>
      </c>
      <c r="S213" s="62" t="e" cm="1">
        <f t="array" ref="S213">SUMPRODUCT(--(2029&gt;'2. Investicijos'!$F$5:$F$22),--(2029&lt;='2. Investicijos'!$F$5:$F$22+'2. Investicijos'!$G$5:$G$22),IFERROR(('2. Investicijos'!$M$5:$M$22+IF('2. Investicijos'!$N$5:$N$22&gt;('2. Investicijos'!$H$5:$H$22*IF('2. Investicijos'!$G$5:$G$22&lt;=35,30%,40%)),'2. Investicijos'!$N$5:$N$22-('2. Investicijos'!$H$5:$H$22*IF('2. Investicijos'!$G$5:$G$22&lt;=35,30%,40%)),0)+('2. Investicijos'!$H$5:$H$22*IF('2. Investicijos'!$G$5:$G$22&lt;=35,30%,40%)))/'2. Investicijos'!$G$5:$G$22,0))+SUMPRODUCT(--(2029&gt;'2. Investicijos'!$F$5:$F$22),--(2029&lt;='2. Investicijos'!$F$5:$F$22+'2. Investicijos'!$G$5:$G$22),IFERROR(('2. Investicijos'!$M$5:$M$22+IF('2. Investicijos'!$N$5:$N$22&gt;('2. Investicijos'!$H$5:$H$22*IF('2. Investicijos'!$G$5:$G$22&lt;=35,30%,40%)),'2. Investicijos'!$N$5:$N$22-('2. Investicijos'!$H$5:$H$22*IF('2. Investicijos'!$G$5:$G$22&lt;=35,30%,40%)),0))*(1-((2029-'2. Investicijos'!$F$5:$F$22)-1)/'2. Investicijos'!$G$5:$G$22),0)*'5. 0% scenarijus'!$C$5)</f>
        <v>#VALUE!</v>
      </c>
      <c r="T213" s="62" t="e">
        <f>'3. Finansinės prielaidos'!F29+S213+G213</f>
        <v>#VALUE!</v>
      </c>
      <c r="U213" s="62" t="e">
        <f t="shared" si="77"/>
        <v>#VALUE!</v>
      </c>
      <c r="V213" s="72" t="e">
        <f t="shared" si="78"/>
        <v>#VALUE!</v>
      </c>
      <c r="W213" s="72" t="e">
        <f t="shared" si="79"/>
        <v>#VALUE!</v>
      </c>
      <c r="X213" s="57" t="e">
        <f t="shared" si="80"/>
        <v>#VALUE!</v>
      </c>
      <c r="Y213" s="57" t="e">
        <f t="shared" si="81"/>
        <v>#VALUE!</v>
      </c>
      <c r="Z213" s="57"/>
      <c r="AA213" s="57"/>
      <c r="AB213" s="57"/>
      <c r="AC213" s="57"/>
      <c r="AD213" s="57"/>
      <c r="AE213" s="57"/>
      <c r="AF213" s="57"/>
      <c r="AG213" s="57"/>
      <c r="AH213" s="57"/>
      <c r="AI213" s="57"/>
      <c r="AJ213" s="57"/>
      <c r="AK213" s="57"/>
      <c r="AL213" s="57"/>
      <c r="AM213" s="57"/>
      <c r="AN213" s="57"/>
      <c r="AO213" s="57"/>
      <c r="AP213" s="57"/>
      <c r="AQ213" s="57"/>
      <c r="AR213" s="57"/>
      <c r="AS213" s="57"/>
    </row>
    <row r="214" spans="1:45">
      <c r="A214" s="57">
        <v>18</v>
      </c>
      <c r="B214" s="57">
        <v>2030</v>
      </c>
      <c r="C214" s="62">
        <f>SUM('4. Metinis CAPEX'!J$9:J$26)</f>
        <v>0</v>
      </c>
      <c r="D214" s="62" cm="1">
        <f t="array" ref="D214">SUMPRODUCT('4. Metinis CAPEX'!J$9:J$26,IFERROR('2. Investicijos'!$N$5:$N$22/'2. Investicijos'!$H$5:$H$22,0))</f>
        <v>0</v>
      </c>
      <c r="E214" s="62" cm="1">
        <f t="array" ref="E214">SUMPRODUCT('4. Metinis CAPEX'!J$9:J$26,IFERROR(('2. Investicijos'!$I$5:$I$22+'2. Investicijos'!$J$5:$J$22+'2. Investicijos'!$K$5:$K$22+'2. Investicijos'!$L$5:$L$22)/'2. Investicijos'!$H$5:$H$22,0))</f>
        <v>0</v>
      </c>
      <c r="F214" s="62" cm="1">
        <f t="array" ref="F214">SUM('2. Investicijos'!$H$5:$H$22*IF('2. Investicijos'!$G$5:$G$22&lt;=35,30%,40%))</f>
        <v>0</v>
      </c>
      <c r="G214" s="62" cm="1">
        <f t="array" ref="G214">IF(AND(2030&gt;=2026,2030&lt;2026+'6. Aprašo scenarijus'!$C$4),SUM('2. Investicijos'!$H$5:$H$22*IF('2. Investicijos'!$G$5:$G$22&lt;=35,30%,40%))/'6. Aprašo scenarijus'!$C$4,0)</f>
        <v>0</v>
      </c>
      <c r="H214" s="62">
        <f t="shared" si="75"/>
        <v>0</v>
      </c>
      <c r="I214" s="62">
        <f>SUM(J$5:J$22)</f>
        <v>0</v>
      </c>
      <c r="J214" s="62" t="e" cm="1">
        <f t="array" ref="J214">K214+L214+MAX(0,-R213)*IFERROR(SUMPRODUCT(IF('2. Investicijos'!$N$5:$N$22&gt;('2. Investicijos'!$H$5:$H$22*IF('2. Investicijos'!$G$5:$G$22&lt;=35,30%,40%)),'2. Investicijos'!$N$5:$N$22-('2. Investicijos'!$H$5:$H$22*IF('2. Investicijos'!$G$5:$G$22&lt;=35,30%,40%)),0),'2. Investicijos'!$O$5:$O$22/100)/SUM(IF('2. Investicijos'!$N$5:$N$22&gt;('2. Investicijos'!$H$5:$H$22*IF('2. Investicijos'!$G$5:$G$22&lt;=35,30%,40%)),'2. Investicijos'!$N$5:$N$22-('2. Investicijos'!$H$5:$H$22*IF('2. Investicijos'!$G$5:$G$22&lt;=35,30%,40%)),0)),0)</f>
        <v>#VALUE!</v>
      </c>
      <c r="K214" s="62">
        <f>SUM(AD$5:AD$22)</f>
        <v>0</v>
      </c>
      <c r="L214" s="62">
        <f>SUM(T$5:T$22)</f>
        <v>0</v>
      </c>
      <c r="M214" s="62">
        <f>SUM(AN$5:AN$22)</f>
        <v>0</v>
      </c>
      <c r="N214" s="62">
        <f>'3. Finansinės prielaidos'!G30+M214</f>
        <v>0</v>
      </c>
      <c r="O214" s="62">
        <f>'3. Finansinės prielaidos'!G31</f>
        <v>0</v>
      </c>
      <c r="P214" s="62">
        <f>'3. Finansinės prielaidos'!G32</f>
        <v>0</v>
      </c>
      <c r="Q214" s="62" t="e">
        <f t="shared" si="76"/>
        <v>#VALUE!</v>
      </c>
      <c r="R214" s="62" t="e">
        <f>R213+('3. Finansinės prielaidos'!G31-'3. Finansinės prielaidos'!F31)+Q214</f>
        <v>#VALUE!</v>
      </c>
      <c r="S214" s="62" t="e" cm="1">
        <f t="array" ref="S214">SUMPRODUCT(--(2030&gt;'2. Investicijos'!$F$5:$F$22),--(2030&lt;='2. Investicijos'!$F$5:$F$22+'2. Investicijos'!$G$5:$G$22),IFERROR(('2. Investicijos'!$M$5:$M$22+IF('2. Investicijos'!$N$5:$N$22&gt;('2. Investicijos'!$H$5:$H$22*IF('2. Investicijos'!$G$5:$G$22&lt;=35,30%,40%)),'2. Investicijos'!$N$5:$N$22-('2. Investicijos'!$H$5:$H$22*IF('2. Investicijos'!$G$5:$G$22&lt;=35,30%,40%)),0)+('2. Investicijos'!$H$5:$H$22*IF('2. Investicijos'!$G$5:$G$22&lt;=35,30%,40%)))/'2. Investicijos'!$G$5:$G$22,0))+SUMPRODUCT(--(2030&gt;'2. Investicijos'!$F$5:$F$22),--(2030&lt;='2. Investicijos'!$F$5:$F$22+'2. Investicijos'!$G$5:$G$22),IFERROR(('2. Investicijos'!$M$5:$M$22+IF('2. Investicijos'!$N$5:$N$22&gt;('2. Investicijos'!$H$5:$H$22*IF('2. Investicijos'!$G$5:$G$22&lt;=35,30%,40%)),'2. Investicijos'!$N$5:$N$22-('2. Investicijos'!$H$5:$H$22*IF('2. Investicijos'!$G$5:$G$22&lt;=35,30%,40%)),0))*(1-((2030-'2. Investicijos'!$F$5:$F$22)-1)/'2. Investicijos'!$G$5:$G$22),0)*'5. 0% scenarijus'!$C$5)</f>
        <v>#VALUE!</v>
      </c>
      <c r="T214" s="62" t="e">
        <f>'3. Finansinės prielaidos'!G29+S214+G214</f>
        <v>#VALUE!</v>
      </c>
      <c r="U214" s="62" t="e">
        <f t="shared" si="77"/>
        <v>#VALUE!</v>
      </c>
      <c r="V214" s="72" t="e">
        <f t="shared" si="78"/>
        <v>#VALUE!</v>
      </c>
      <c r="W214" s="72" t="e">
        <f t="shared" si="79"/>
        <v>#VALUE!</v>
      </c>
      <c r="X214" s="57" t="e">
        <f t="shared" si="80"/>
        <v>#VALUE!</v>
      </c>
      <c r="Y214" s="57" t="e">
        <f t="shared" si="81"/>
        <v>#VALUE!</v>
      </c>
      <c r="Z214" s="57"/>
      <c r="AA214" s="57"/>
      <c r="AB214" s="57"/>
      <c r="AC214" s="57"/>
      <c r="AD214" s="57"/>
      <c r="AE214" s="57"/>
      <c r="AF214" s="57"/>
      <c r="AG214" s="57"/>
      <c r="AH214" s="57"/>
      <c r="AI214" s="57"/>
      <c r="AJ214" s="57"/>
      <c r="AK214" s="57"/>
      <c r="AL214" s="57"/>
      <c r="AM214" s="57"/>
      <c r="AN214" s="57"/>
      <c r="AO214" s="57"/>
      <c r="AP214" s="57"/>
      <c r="AQ214" s="57"/>
      <c r="AR214" s="57"/>
      <c r="AS214" s="57"/>
    </row>
    <row r="215" spans="1:45">
      <c r="A215" s="57">
        <v>18</v>
      </c>
      <c r="B215" s="57">
        <v>2031</v>
      </c>
      <c r="C215" s="62">
        <f>SUM('4. Metinis CAPEX'!K$9:K$26)</f>
        <v>0</v>
      </c>
      <c r="D215" s="62" cm="1">
        <f t="array" ref="D215">SUMPRODUCT('4. Metinis CAPEX'!K$9:K$26,IFERROR('2. Investicijos'!$N$5:$N$22/'2. Investicijos'!$H$5:$H$22,0))</f>
        <v>0</v>
      </c>
      <c r="E215" s="62" cm="1">
        <f t="array" ref="E215">SUMPRODUCT('4. Metinis CAPEX'!K$9:K$26,IFERROR(('2. Investicijos'!$I$5:$I$22+'2. Investicijos'!$J$5:$J$22+'2. Investicijos'!$K$5:$K$22+'2. Investicijos'!$L$5:$L$22)/'2. Investicijos'!$H$5:$H$22,0))</f>
        <v>0</v>
      </c>
      <c r="F215" s="62" cm="1">
        <f t="array" ref="F215">SUM('2. Investicijos'!$H$5:$H$22*IF('2. Investicijos'!$G$5:$G$22&lt;=35,30%,40%))</f>
        <v>0</v>
      </c>
      <c r="G215" s="62" cm="1">
        <f t="array" ref="G215">IF(AND(2031&gt;=2026,2031&lt;2026+'6. Aprašo scenarijus'!$C$4),SUM('2. Investicijos'!$H$5:$H$22*IF('2. Investicijos'!$G$5:$G$22&lt;=35,30%,40%))/'6. Aprašo scenarijus'!$C$4,0)</f>
        <v>0</v>
      </c>
      <c r="H215" s="62">
        <f t="shared" si="75"/>
        <v>0</v>
      </c>
      <c r="I215" s="62">
        <f>SUM(K$5:K$22)</f>
        <v>0</v>
      </c>
      <c r="J215" s="62" t="e" cm="1">
        <f t="array" ref="J215">K215+L215+MAX(0,-R214)*IFERROR(SUMPRODUCT(IF('2. Investicijos'!$N$5:$N$22&gt;('2. Investicijos'!$H$5:$H$22*IF('2. Investicijos'!$G$5:$G$22&lt;=35,30%,40%)),'2. Investicijos'!$N$5:$N$22-('2. Investicijos'!$H$5:$H$22*IF('2. Investicijos'!$G$5:$G$22&lt;=35,30%,40%)),0),'2. Investicijos'!$O$5:$O$22/100)/SUM(IF('2. Investicijos'!$N$5:$N$22&gt;('2. Investicijos'!$H$5:$H$22*IF('2. Investicijos'!$G$5:$G$22&lt;=35,30%,40%)),'2. Investicijos'!$N$5:$N$22-('2. Investicijos'!$H$5:$H$22*IF('2. Investicijos'!$G$5:$G$22&lt;=35,30%,40%)),0)),0)</f>
        <v>#VALUE!</v>
      </c>
      <c r="K215" s="62">
        <f>SUM(AE$5:AE$22)</f>
        <v>0</v>
      </c>
      <c r="L215" s="62">
        <f>SUM(U$5:U$22)</f>
        <v>0</v>
      </c>
      <c r="M215" s="62">
        <f>SUM(AO$5:AO$22)</f>
        <v>0</v>
      </c>
      <c r="N215" s="62">
        <f>'3. Finansinės prielaidos'!H30+M215</f>
        <v>0</v>
      </c>
      <c r="O215" s="62">
        <f>'3. Finansinės prielaidos'!H31</f>
        <v>0</v>
      </c>
      <c r="P215" s="62">
        <f>'3. Finansinės prielaidos'!H32</f>
        <v>0</v>
      </c>
      <c r="Q215" s="62" t="e">
        <f t="shared" si="76"/>
        <v>#VALUE!</v>
      </c>
      <c r="R215" s="62" t="e">
        <f>R214+('3. Finansinės prielaidos'!H31-'3. Finansinės prielaidos'!G31)+Q215</f>
        <v>#VALUE!</v>
      </c>
      <c r="S215" s="62" t="e" cm="1">
        <f t="array" ref="S215">SUMPRODUCT(--(2031&gt;'2. Investicijos'!$F$5:$F$22),--(2031&lt;='2. Investicijos'!$F$5:$F$22+'2. Investicijos'!$G$5:$G$22),IFERROR(('2. Investicijos'!$M$5:$M$22+IF('2. Investicijos'!$N$5:$N$22&gt;('2. Investicijos'!$H$5:$H$22*IF('2. Investicijos'!$G$5:$G$22&lt;=35,30%,40%)),'2. Investicijos'!$N$5:$N$22-('2. Investicijos'!$H$5:$H$22*IF('2. Investicijos'!$G$5:$G$22&lt;=35,30%,40%)),0)+('2. Investicijos'!$H$5:$H$22*IF('2. Investicijos'!$G$5:$G$22&lt;=35,30%,40%)))/'2. Investicijos'!$G$5:$G$22,0))+SUMPRODUCT(--(2031&gt;'2. Investicijos'!$F$5:$F$22),--(2031&lt;='2. Investicijos'!$F$5:$F$22+'2. Investicijos'!$G$5:$G$22),IFERROR(('2. Investicijos'!$M$5:$M$22+IF('2. Investicijos'!$N$5:$N$22&gt;('2. Investicijos'!$H$5:$H$22*IF('2. Investicijos'!$G$5:$G$22&lt;=35,30%,40%)),'2. Investicijos'!$N$5:$N$22-('2. Investicijos'!$H$5:$H$22*IF('2. Investicijos'!$G$5:$G$22&lt;=35,30%,40%)),0))*(1-((2031-'2. Investicijos'!$F$5:$F$22)-1)/'2. Investicijos'!$G$5:$G$22),0)*'5. 0% scenarijus'!$C$5)</f>
        <v>#VALUE!</v>
      </c>
      <c r="T215" s="62" t="e">
        <f>'3. Finansinės prielaidos'!H29+S215+G215</f>
        <v>#VALUE!</v>
      </c>
      <c r="U215" s="62" t="e">
        <f t="shared" si="77"/>
        <v>#VALUE!</v>
      </c>
      <c r="V215" s="72" t="e">
        <f t="shared" si="78"/>
        <v>#VALUE!</v>
      </c>
      <c r="W215" s="72" t="e">
        <f t="shared" si="79"/>
        <v>#VALUE!</v>
      </c>
      <c r="X215" s="57" t="e">
        <f t="shared" si="80"/>
        <v>#VALUE!</v>
      </c>
      <c r="Y215" s="57" t="e">
        <f t="shared" si="81"/>
        <v>#VALUE!</v>
      </c>
      <c r="Z215" s="57"/>
      <c r="AA215" s="57"/>
      <c r="AB215" s="57"/>
      <c r="AC215" s="57"/>
      <c r="AD215" s="57"/>
      <c r="AE215" s="57"/>
      <c r="AF215" s="57"/>
      <c r="AG215" s="57"/>
      <c r="AH215" s="57"/>
      <c r="AI215" s="57"/>
      <c r="AJ215" s="57"/>
      <c r="AK215" s="57"/>
      <c r="AL215" s="57"/>
      <c r="AM215" s="57"/>
      <c r="AN215" s="57"/>
      <c r="AO215" s="57"/>
      <c r="AP215" s="57"/>
      <c r="AQ215" s="57"/>
      <c r="AR215" s="57"/>
      <c r="AS215" s="57"/>
    </row>
    <row r="216" spans="1:45">
      <c r="A216" s="57">
        <v>18</v>
      </c>
      <c r="B216" s="57">
        <v>2032</v>
      </c>
      <c r="C216" s="62">
        <f>SUM('4. Metinis CAPEX'!L$9:L$26)</f>
        <v>0</v>
      </c>
      <c r="D216" s="62" cm="1">
        <f t="array" ref="D216">SUMPRODUCT('4. Metinis CAPEX'!L$9:L$26,IFERROR('2. Investicijos'!$N$5:$N$22/'2. Investicijos'!$H$5:$H$22,0))</f>
        <v>0</v>
      </c>
      <c r="E216" s="62" cm="1">
        <f t="array" ref="E216">SUMPRODUCT('4. Metinis CAPEX'!L$9:L$26,IFERROR(('2. Investicijos'!$I$5:$I$22+'2. Investicijos'!$J$5:$J$22+'2. Investicijos'!$K$5:$K$22+'2. Investicijos'!$L$5:$L$22)/'2. Investicijos'!$H$5:$H$22,0))</f>
        <v>0</v>
      </c>
      <c r="F216" s="62" cm="1">
        <f t="array" ref="F216">SUM('2. Investicijos'!$H$5:$H$22*IF('2. Investicijos'!$G$5:$G$22&lt;=35,30%,40%))</f>
        <v>0</v>
      </c>
      <c r="G216" s="62" cm="1">
        <f t="array" ref="G216">IF(AND(2032&gt;=2026,2032&lt;2026+'6. Aprašo scenarijus'!$C$4),SUM('2. Investicijos'!$H$5:$H$22*IF('2. Investicijos'!$G$5:$G$22&lt;=35,30%,40%))/'6. Aprašo scenarijus'!$C$4,0)</f>
        <v>0</v>
      </c>
      <c r="H216" s="62">
        <f t="shared" si="75"/>
        <v>0</v>
      </c>
      <c r="I216" s="62">
        <f>SUM(L$5:L$22)</f>
        <v>0</v>
      </c>
      <c r="J216" s="62" t="e" cm="1">
        <f t="array" ref="J216">K216+L216+MAX(0,-R215)*IFERROR(SUMPRODUCT(IF('2. Investicijos'!$N$5:$N$22&gt;('2. Investicijos'!$H$5:$H$22*IF('2. Investicijos'!$G$5:$G$22&lt;=35,30%,40%)),'2. Investicijos'!$N$5:$N$22-('2. Investicijos'!$H$5:$H$22*IF('2. Investicijos'!$G$5:$G$22&lt;=35,30%,40%)),0),'2. Investicijos'!$O$5:$O$22/100)/SUM(IF('2. Investicijos'!$N$5:$N$22&gt;('2. Investicijos'!$H$5:$H$22*IF('2. Investicijos'!$G$5:$G$22&lt;=35,30%,40%)),'2. Investicijos'!$N$5:$N$22-('2. Investicijos'!$H$5:$H$22*IF('2. Investicijos'!$G$5:$G$22&lt;=35,30%,40%)),0)),0)</f>
        <v>#VALUE!</v>
      </c>
      <c r="K216" s="62">
        <f>SUM(AF$5:AF$22)</f>
        <v>0</v>
      </c>
      <c r="L216" s="62">
        <f>SUM(V$5:V$22)</f>
        <v>0</v>
      </c>
      <c r="M216" s="62">
        <f>SUM(AP$5:AP$22)</f>
        <v>0</v>
      </c>
      <c r="N216" s="62">
        <f>'3. Finansinės prielaidos'!I30+M216</f>
        <v>0</v>
      </c>
      <c r="O216" s="62">
        <f>'3. Finansinės prielaidos'!I31</f>
        <v>0</v>
      </c>
      <c r="P216" s="62">
        <f>'3. Finansinės prielaidos'!I32</f>
        <v>0</v>
      </c>
      <c r="Q216" s="62" t="e">
        <f t="shared" si="76"/>
        <v>#VALUE!</v>
      </c>
      <c r="R216" s="62" t="e">
        <f>R215+('3. Finansinės prielaidos'!I31-'3. Finansinės prielaidos'!H31)+Q216</f>
        <v>#VALUE!</v>
      </c>
      <c r="S216" s="62" t="e" cm="1">
        <f t="array" ref="S216">SUMPRODUCT(--(2032&gt;'2. Investicijos'!$F$5:$F$22),--(2032&lt;='2. Investicijos'!$F$5:$F$22+'2. Investicijos'!$G$5:$G$22),IFERROR(('2. Investicijos'!$M$5:$M$22+IF('2. Investicijos'!$N$5:$N$22&gt;('2. Investicijos'!$H$5:$H$22*IF('2. Investicijos'!$G$5:$G$22&lt;=35,30%,40%)),'2. Investicijos'!$N$5:$N$22-('2. Investicijos'!$H$5:$H$22*IF('2. Investicijos'!$G$5:$G$22&lt;=35,30%,40%)),0)+('2. Investicijos'!$H$5:$H$22*IF('2. Investicijos'!$G$5:$G$22&lt;=35,30%,40%)))/'2. Investicijos'!$G$5:$G$22,0))+SUMPRODUCT(--(2032&gt;'2. Investicijos'!$F$5:$F$22),--(2032&lt;='2. Investicijos'!$F$5:$F$22+'2. Investicijos'!$G$5:$G$22),IFERROR(('2. Investicijos'!$M$5:$M$22+IF('2. Investicijos'!$N$5:$N$22&gt;('2. Investicijos'!$H$5:$H$22*IF('2. Investicijos'!$G$5:$G$22&lt;=35,30%,40%)),'2. Investicijos'!$N$5:$N$22-('2. Investicijos'!$H$5:$H$22*IF('2. Investicijos'!$G$5:$G$22&lt;=35,30%,40%)),0))*(1-((2032-'2. Investicijos'!$F$5:$F$22)-1)/'2. Investicijos'!$G$5:$G$22),0)*'5. 0% scenarijus'!$C$5)</f>
        <v>#VALUE!</v>
      </c>
      <c r="T216" s="62" t="e">
        <f>'3. Finansinės prielaidos'!I29+S216+G216</f>
        <v>#VALUE!</v>
      </c>
      <c r="U216" s="62" t="e">
        <f t="shared" si="77"/>
        <v>#VALUE!</v>
      </c>
      <c r="V216" s="72" t="e">
        <f t="shared" si="78"/>
        <v>#VALUE!</v>
      </c>
      <c r="W216" s="72" t="e">
        <f t="shared" si="79"/>
        <v>#VALUE!</v>
      </c>
      <c r="X216" s="57" t="e">
        <f t="shared" si="80"/>
        <v>#VALUE!</v>
      </c>
      <c r="Y216" s="57" t="e">
        <f t="shared" si="81"/>
        <v>#VALUE!</v>
      </c>
      <c r="Z216" s="57"/>
      <c r="AA216" s="57"/>
      <c r="AB216" s="57"/>
      <c r="AC216" s="57"/>
      <c r="AD216" s="57"/>
      <c r="AE216" s="57"/>
      <c r="AF216" s="57"/>
      <c r="AG216" s="57"/>
      <c r="AH216" s="57"/>
      <c r="AI216" s="57"/>
      <c r="AJ216" s="57"/>
      <c r="AK216" s="57"/>
      <c r="AL216" s="57"/>
      <c r="AM216" s="57"/>
      <c r="AN216" s="57"/>
      <c r="AO216" s="57"/>
      <c r="AP216" s="57"/>
      <c r="AQ216" s="57"/>
      <c r="AR216" s="57"/>
      <c r="AS216" s="57"/>
    </row>
    <row r="217" spans="1:45">
      <c r="A217" s="57">
        <v>18</v>
      </c>
      <c r="B217" s="57">
        <v>2033</v>
      </c>
      <c r="C217" s="62">
        <f>SUM('4. Metinis CAPEX'!M$9:M$26)</f>
        <v>0</v>
      </c>
      <c r="D217" s="62" cm="1">
        <f t="array" ref="D217">SUMPRODUCT('4. Metinis CAPEX'!M$9:M$26,IFERROR('2. Investicijos'!$N$5:$N$22/'2. Investicijos'!$H$5:$H$22,0))</f>
        <v>0</v>
      </c>
      <c r="E217" s="62" cm="1">
        <f t="array" ref="E217">SUMPRODUCT('4. Metinis CAPEX'!M$9:M$26,IFERROR(('2. Investicijos'!$I$5:$I$22+'2. Investicijos'!$J$5:$J$22+'2. Investicijos'!$K$5:$K$22+'2. Investicijos'!$L$5:$L$22)/'2. Investicijos'!$H$5:$H$22,0))</f>
        <v>0</v>
      </c>
      <c r="F217" s="62" cm="1">
        <f t="array" ref="F217">SUM('2. Investicijos'!$H$5:$H$22*IF('2. Investicijos'!$G$5:$G$22&lt;=35,30%,40%))</f>
        <v>0</v>
      </c>
      <c r="G217" s="62" cm="1">
        <f t="array" ref="G217">IF(AND(2033&gt;=2026,2033&lt;2026+'6. Aprašo scenarijus'!$C$4),SUM('2. Investicijos'!$H$5:$H$22*IF('2. Investicijos'!$G$5:$G$22&lt;=35,30%,40%))/'6. Aprašo scenarijus'!$C$4,0)</f>
        <v>0</v>
      </c>
      <c r="H217" s="62">
        <f t="shared" si="75"/>
        <v>0</v>
      </c>
      <c r="I217" s="62">
        <f>SUM(M$5:M$22)</f>
        <v>0</v>
      </c>
      <c r="J217" s="62" t="e" cm="1">
        <f t="array" ref="J217">K217+L217+MAX(0,-R216)*IFERROR(SUMPRODUCT(IF('2. Investicijos'!$N$5:$N$22&gt;('2. Investicijos'!$H$5:$H$22*IF('2. Investicijos'!$G$5:$G$22&lt;=35,30%,40%)),'2. Investicijos'!$N$5:$N$22-('2. Investicijos'!$H$5:$H$22*IF('2. Investicijos'!$G$5:$G$22&lt;=35,30%,40%)),0),'2. Investicijos'!$O$5:$O$22/100)/SUM(IF('2. Investicijos'!$N$5:$N$22&gt;('2. Investicijos'!$H$5:$H$22*IF('2. Investicijos'!$G$5:$G$22&lt;=35,30%,40%)),'2. Investicijos'!$N$5:$N$22-('2. Investicijos'!$H$5:$H$22*IF('2. Investicijos'!$G$5:$G$22&lt;=35,30%,40%)),0)),0)</f>
        <v>#VALUE!</v>
      </c>
      <c r="K217" s="62">
        <f>SUM(AG$5:AG$22)</f>
        <v>0</v>
      </c>
      <c r="L217" s="62">
        <f>SUM(W$5:W$22)</f>
        <v>0</v>
      </c>
      <c r="M217" s="62">
        <f>SUM(AQ$5:AQ$22)</f>
        <v>0</v>
      </c>
      <c r="N217" s="62">
        <f>'3. Finansinės prielaidos'!J30+M217</f>
        <v>0</v>
      </c>
      <c r="O217" s="62">
        <f>'3. Finansinės prielaidos'!J31</f>
        <v>0</v>
      </c>
      <c r="P217" s="62">
        <f>'3. Finansinės prielaidos'!J32</f>
        <v>0</v>
      </c>
      <c r="Q217" s="62" t="e">
        <f t="shared" si="76"/>
        <v>#VALUE!</v>
      </c>
      <c r="R217" s="62" t="e">
        <f>R216+('3. Finansinės prielaidos'!J31-'3. Finansinės prielaidos'!I31)+Q217</f>
        <v>#VALUE!</v>
      </c>
      <c r="S217" s="62" t="e" cm="1">
        <f t="array" ref="S217">SUMPRODUCT(--(2033&gt;'2. Investicijos'!$F$5:$F$22),--(2033&lt;='2. Investicijos'!$F$5:$F$22+'2. Investicijos'!$G$5:$G$22),IFERROR(('2. Investicijos'!$M$5:$M$22+IF('2. Investicijos'!$N$5:$N$22&gt;('2. Investicijos'!$H$5:$H$22*IF('2. Investicijos'!$G$5:$G$22&lt;=35,30%,40%)),'2. Investicijos'!$N$5:$N$22-('2. Investicijos'!$H$5:$H$22*IF('2. Investicijos'!$G$5:$G$22&lt;=35,30%,40%)),0)+('2. Investicijos'!$H$5:$H$22*IF('2. Investicijos'!$G$5:$G$22&lt;=35,30%,40%)))/'2. Investicijos'!$G$5:$G$22,0))+SUMPRODUCT(--(2033&gt;'2. Investicijos'!$F$5:$F$22),--(2033&lt;='2. Investicijos'!$F$5:$F$22+'2. Investicijos'!$G$5:$G$22),IFERROR(('2. Investicijos'!$M$5:$M$22+IF('2. Investicijos'!$N$5:$N$22&gt;('2. Investicijos'!$H$5:$H$22*IF('2. Investicijos'!$G$5:$G$22&lt;=35,30%,40%)),'2. Investicijos'!$N$5:$N$22-('2. Investicijos'!$H$5:$H$22*IF('2. Investicijos'!$G$5:$G$22&lt;=35,30%,40%)),0))*(1-((2033-'2. Investicijos'!$F$5:$F$22)-1)/'2. Investicijos'!$G$5:$G$22),0)*'5. 0% scenarijus'!$C$5)</f>
        <v>#VALUE!</v>
      </c>
      <c r="T217" s="62" t="e">
        <f>'3. Finansinės prielaidos'!J29+S217+G217</f>
        <v>#VALUE!</v>
      </c>
      <c r="U217" s="62" t="e">
        <f t="shared" si="77"/>
        <v>#VALUE!</v>
      </c>
      <c r="V217" s="72" t="e">
        <f t="shared" si="78"/>
        <v>#VALUE!</v>
      </c>
      <c r="W217" s="72" t="e">
        <f t="shared" si="79"/>
        <v>#VALUE!</v>
      </c>
      <c r="X217" s="57" t="e">
        <f t="shared" si="80"/>
        <v>#VALUE!</v>
      </c>
      <c r="Y217" s="57" t="e">
        <f t="shared" si="81"/>
        <v>#VALUE!</v>
      </c>
      <c r="Z217" s="57"/>
      <c r="AA217" s="57"/>
      <c r="AB217" s="57"/>
      <c r="AC217" s="57"/>
      <c r="AD217" s="57"/>
      <c r="AE217" s="57"/>
      <c r="AF217" s="57"/>
      <c r="AG217" s="57"/>
      <c r="AH217" s="57"/>
      <c r="AI217" s="57"/>
      <c r="AJ217" s="57"/>
      <c r="AK217" s="57"/>
      <c r="AL217" s="57"/>
      <c r="AM217" s="57"/>
      <c r="AN217" s="57"/>
      <c r="AO217" s="57"/>
      <c r="AP217" s="57"/>
      <c r="AQ217" s="57"/>
      <c r="AR217" s="57"/>
      <c r="AS217" s="57"/>
    </row>
    <row r="218" spans="1:45">
      <c r="A218" s="57">
        <v>18</v>
      </c>
      <c r="B218" s="57">
        <v>2034</v>
      </c>
      <c r="C218" s="62">
        <f>SUM('4. Metinis CAPEX'!N$9:N$26)</f>
        <v>0</v>
      </c>
      <c r="D218" s="62" cm="1">
        <f t="array" ref="D218">SUMPRODUCT('4. Metinis CAPEX'!N$9:N$26,IFERROR('2. Investicijos'!$N$5:$N$22/'2. Investicijos'!$H$5:$H$22,0))</f>
        <v>0</v>
      </c>
      <c r="E218" s="62" cm="1">
        <f t="array" ref="E218">SUMPRODUCT('4. Metinis CAPEX'!N$9:N$26,IFERROR(('2. Investicijos'!$I$5:$I$22+'2. Investicijos'!$J$5:$J$22+'2. Investicijos'!$K$5:$K$22+'2. Investicijos'!$L$5:$L$22)/'2. Investicijos'!$H$5:$H$22,0))</f>
        <v>0</v>
      </c>
      <c r="F218" s="62" cm="1">
        <f t="array" ref="F218">SUM('2. Investicijos'!$H$5:$H$22*IF('2. Investicijos'!$G$5:$G$22&lt;=35,30%,40%))</f>
        <v>0</v>
      </c>
      <c r="G218" s="62" cm="1">
        <f t="array" ref="G218">IF(AND(2034&gt;=2026,2034&lt;2026+'6. Aprašo scenarijus'!$C$4),SUM('2. Investicijos'!$H$5:$H$22*IF('2. Investicijos'!$G$5:$G$22&lt;=35,30%,40%))/'6. Aprašo scenarijus'!$C$4,0)</f>
        <v>0</v>
      </c>
      <c r="H218" s="62">
        <f t="shared" si="75"/>
        <v>0</v>
      </c>
      <c r="I218" s="62">
        <f>SUM(N$5:N$22)</f>
        <v>0</v>
      </c>
      <c r="J218" s="62" t="e" cm="1">
        <f t="array" ref="J218">K218+L218+MAX(0,-R217)*IFERROR(SUMPRODUCT(IF('2. Investicijos'!$N$5:$N$22&gt;('2. Investicijos'!$H$5:$H$22*IF('2. Investicijos'!$G$5:$G$22&lt;=35,30%,40%)),'2. Investicijos'!$N$5:$N$22-('2. Investicijos'!$H$5:$H$22*IF('2. Investicijos'!$G$5:$G$22&lt;=35,30%,40%)),0),'2. Investicijos'!$O$5:$O$22/100)/SUM(IF('2. Investicijos'!$N$5:$N$22&gt;('2. Investicijos'!$H$5:$H$22*IF('2. Investicijos'!$G$5:$G$22&lt;=35,30%,40%)),'2. Investicijos'!$N$5:$N$22-('2. Investicijos'!$H$5:$H$22*IF('2. Investicijos'!$G$5:$G$22&lt;=35,30%,40%)),0)),0)</f>
        <v>#VALUE!</v>
      </c>
      <c r="K218" s="62">
        <f>SUM(AH$5:AH$22)</f>
        <v>0</v>
      </c>
      <c r="L218" s="62">
        <f>SUM(X$5:X$22)</f>
        <v>0</v>
      </c>
      <c r="M218" s="62">
        <f>SUM(AR$5:AR$22)</f>
        <v>0</v>
      </c>
      <c r="N218" s="62">
        <f>'3. Finansinės prielaidos'!K30+M218</f>
        <v>0</v>
      </c>
      <c r="O218" s="62">
        <f>'3. Finansinės prielaidos'!K31</f>
        <v>0</v>
      </c>
      <c r="P218" s="62">
        <f>'3. Finansinės prielaidos'!K32</f>
        <v>0</v>
      </c>
      <c r="Q218" s="62" t="e">
        <f t="shared" si="76"/>
        <v>#VALUE!</v>
      </c>
      <c r="R218" s="62" t="e">
        <f>R217+('3. Finansinės prielaidos'!K31-'3. Finansinės prielaidos'!J31)+Q218</f>
        <v>#VALUE!</v>
      </c>
      <c r="S218" s="62" t="e" cm="1">
        <f t="array" ref="S218">SUMPRODUCT(--(2034&gt;'2. Investicijos'!$F$5:$F$22),--(2034&lt;='2. Investicijos'!$F$5:$F$22+'2. Investicijos'!$G$5:$G$22),IFERROR(('2. Investicijos'!$M$5:$M$22+IF('2. Investicijos'!$N$5:$N$22&gt;('2. Investicijos'!$H$5:$H$22*IF('2. Investicijos'!$G$5:$G$22&lt;=35,30%,40%)),'2. Investicijos'!$N$5:$N$22-('2. Investicijos'!$H$5:$H$22*IF('2. Investicijos'!$G$5:$G$22&lt;=35,30%,40%)),0)+('2. Investicijos'!$H$5:$H$22*IF('2. Investicijos'!$G$5:$G$22&lt;=35,30%,40%)))/'2. Investicijos'!$G$5:$G$22,0))+SUMPRODUCT(--(2034&gt;'2. Investicijos'!$F$5:$F$22),--(2034&lt;='2. Investicijos'!$F$5:$F$22+'2. Investicijos'!$G$5:$G$22),IFERROR(('2. Investicijos'!$M$5:$M$22+IF('2. Investicijos'!$N$5:$N$22&gt;('2. Investicijos'!$H$5:$H$22*IF('2. Investicijos'!$G$5:$G$22&lt;=35,30%,40%)),'2. Investicijos'!$N$5:$N$22-('2. Investicijos'!$H$5:$H$22*IF('2. Investicijos'!$G$5:$G$22&lt;=35,30%,40%)),0))*(1-((2034-'2. Investicijos'!$F$5:$F$22)-1)/'2. Investicijos'!$G$5:$G$22),0)*'5. 0% scenarijus'!$C$5)</f>
        <v>#VALUE!</v>
      </c>
      <c r="T218" s="62" t="e">
        <f>'3. Finansinės prielaidos'!K29+S218+G218</f>
        <v>#VALUE!</v>
      </c>
      <c r="U218" s="62" t="e">
        <f t="shared" si="77"/>
        <v>#VALUE!</v>
      </c>
      <c r="V218" s="72" t="e">
        <f t="shared" si="78"/>
        <v>#VALUE!</v>
      </c>
      <c r="W218" s="72" t="e">
        <f t="shared" si="79"/>
        <v>#VALUE!</v>
      </c>
      <c r="X218" s="57" t="e">
        <f t="shared" si="80"/>
        <v>#VALUE!</v>
      </c>
      <c r="Y218" s="57" t="e">
        <f t="shared" si="81"/>
        <v>#VALUE!</v>
      </c>
      <c r="Z218" s="57"/>
      <c r="AA218" s="57"/>
      <c r="AB218" s="57"/>
      <c r="AC218" s="57"/>
      <c r="AD218" s="57"/>
      <c r="AE218" s="57"/>
      <c r="AF218" s="57"/>
      <c r="AG218" s="57"/>
      <c r="AH218" s="57"/>
      <c r="AI218" s="57"/>
      <c r="AJ218" s="57"/>
      <c r="AK218" s="57"/>
      <c r="AL218" s="57"/>
      <c r="AM218" s="57"/>
      <c r="AN218" s="57"/>
      <c r="AO218" s="57"/>
      <c r="AP218" s="57"/>
      <c r="AQ218" s="57"/>
      <c r="AR218" s="57"/>
      <c r="AS218" s="57"/>
    </row>
    <row r="219" spans="1:45">
      <c r="A219" s="57">
        <v>18</v>
      </c>
      <c r="B219" s="57">
        <v>2035</v>
      </c>
      <c r="C219" s="62">
        <f>SUM('4. Metinis CAPEX'!O$9:O$26)</f>
        <v>0</v>
      </c>
      <c r="D219" s="62" cm="1">
        <f t="array" ref="D219">SUMPRODUCT('4. Metinis CAPEX'!O$9:O$26,IFERROR('2. Investicijos'!$N$5:$N$22/'2. Investicijos'!$H$5:$H$22,0))</f>
        <v>0</v>
      </c>
      <c r="E219" s="62" cm="1">
        <f t="array" ref="E219">SUMPRODUCT('4. Metinis CAPEX'!O$9:O$26,IFERROR(('2. Investicijos'!$I$5:$I$22+'2. Investicijos'!$J$5:$J$22+'2. Investicijos'!$K$5:$K$22+'2. Investicijos'!$L$5:$L$22)/'2. Investicijos'!$H$5:$H$22,0))</f>
        <v>0</v>
      </c>
      <c r="F219" s="62" cm="1">
        <f t="array" ref="F219">SUM('2. Investicijos'!$H$5:$H$22*IF('2. Investicijos'!$G$5:$G$22&lt;=35,30%,40%))</f>
        <v>0</v>
      </c>
      <c r="G219" s="62" cm="1">
        <f t="array" ref="G219">IF(AND(2035&gt;=2026,2035&lt;2026+'6. Aprašo scenarijus'!$C$4),SUM('2. Investicijos'!$H$5:$H$22*IF('2. Investicijos'!$G$5:$G$22&lt;=35,30%,40%))/'6. Aprašo scenarijus'!$C$4,0)</f>
        <v>0</v>
      </c>
      <c r="H219" s="62">
        <f t="shared" si="75"/>
        <v>0</v>
      </c>
      <c r="I219" s="62">
        <f>SUM(O$5:O$22)</f>
        <v>0</v>
      </c>
      <c r="J219" s="62" t="e" cm="1">
        <f t="array" ref="J219">K219+L219+MAX(0,-R218)*IFERROR(SUMPRODUCT(IF('2. Investicijos'!$N$5:$N$22&gt;('2. Investicijos'!$H$5:$H$22*IF('2. Investicijos'!$G$5:$G$22&lt;=35,30%,40%)),'2. Investicijos'!$N$5:$N$22-('2. Investicijos'!$H$5:$H$22*IF('2. Investicijos'!$G$5:$G$22&lt;=35,30%,40%)),0),'2. Investicijos'!$O$5:$O$22/100)/SUM(IF('2. Investicijos'!$N$5:$N$22&gt;('2. Investicijos'!$H$5:$H$22*IF('2. Investicijos'!$G$5:$G$22&lt;=35,30%,40%)),'2. Investicijos'!$N$5:$N$22-('2. Investicijos'!$H$5:$H$22*IF('2. Investicijos'!$G$5:$G$22&lt;=35,30%,40%)),0)),0)</f>
        <v>#VALUE!</v>
      </c>
      <c r="K219" s="62">
        <f>SUM(AI$5:AI$22)</f>
        <v>0</v>
      </c>
      <c r="L219" s="62">
        <f>SUM(Y$5:Y$22)</f>
        <v>0</v>
      </c>
      <c r="M219" s="62">
        <f>SUM(AS$5:AS$22)</f>
        <v>0</v>
      </c>
      <c r="N219" s="62">
        <f>'3. Finansinės prielaidos'!L30+M219</f>
        <v>0</v>
      </c>
      <c r="O219" s="62">
        <f>'3. Finansinės prielaidos'!L31</f>
        <v>0</v>
      </c>
      <c r="P219" s="62">
        <f>'3. Finansinės prielaidos'!L32</f>
        <v>0</v>
      </c>
      <c r="Q219" s="62" t="e">
        <f t="shared" si="76"/>
        <v>#VALUE!</v>
      </c>
      <c r="R219" s="62" t="e">
        <f>R218+('3. Finansinės prielaidos'!L31-'3. Finansinės prielaidos'!K31)+Q219</f>
        <v>#VALUE!</v>
      </c>
      <c r="S219" s="62" t="e" cm="1">
        <f t="array" ref="S219">SUMPRODUCT(--(2035&gt;'2. Investicijos'!$F$5:$F$22),--(2035&lt;='2. Investicijos'!$F$5:$F$22+'2. Investicijos'!$G$5:$G$22),IFERROR(('2. Investicijos'!$M$5:$M$22+IF('2. Investicijos'!$N$5:$N$22&gt;('2. Investicijos'!$H$5:$H$22*IF('2. Investicijos'!$G$5:$G$22&lt;=35,30%,40%)),'2. Investicijos'!$N$5:$N$22-('2. Investicijos'!$H$5:$H$22*IF('2. Investicijos'!$G$5:$G$22&lt;=35,30%,40%)),0)+('2. Investicijos'!$H$5:$H$22*IF('2. Investicijos'!$G$5:$G$22&lt;=35,30%,40%)))/'2. Investicijos'!$G$5:$G$22,0))+SUMPRODUCT(--(2035&gt;'2. Investicijos'!$F$5:$F$22),--(2035&lt;='2. Investicijos'!$F$5:$F$22+'2. Investicijos'!$G$5:$G$22),IFERROR(('2. Investicijos'!$M$5:$M$22+IF('2. Investicijos'!$N$5:$N$22&gt;('2. Investicijos'!$H$5:$H$22*IF('2. Investicijos'!$G$5:$G$22&lt;=35,30%,40%)),'2. Investicijos'!$N$5:$N$22-('2. Investicijos'!$H$5:$H$22*IF('2. Investicijos'!$G$5:$G$22&lt;=35,30%,40%)),0))*(1-((2035-'2. Investicijos'!$F$5:$F$22)-1)/'2. Investicijos'!$G$5:$G$22),0)*'5. 0% scenarijus'!$C$5)</f>
        <v>#VALUE!</v>
      </c>
      <c r="T219" s="62" t="e">
        <f>'3. Finansinės prielaidos'!L29+S219+G219</f>
        <v>#VALUE!</v>
      </c>
      <c r="U219" s="62" t="e">
        <f t="shared" si="77"/>
        <v>#VALUE!</v>
      </c>
      <c r="V219" s="72" t="e">
        <f t="shared" si="78"/>
        <v>#VALUE!</v>
      </c>
      <c r="W219" s="72" t="e">
        <f t="shared" si="79"/>
        <v>#VALUE!</v>
      </c>
      <c r="X219" s="57" t="e">
        <f t="shared" si="80"/>
        <v>#VALUE!</v>
      </c>
      <c r="Y219" s="57" t="e">
        <f t="shared" si="81"/>
        <v>#VALUE!</v>
      </c>
      <c r="Z219" s="57"/>
      <c r="AA219" s="57"/>
      <c r="AB219" s="57"/>
      <c r="AC219" s="57"/>
      <c r="AD219" s="57"/>
      <c r="AE219" s="57"/>
      <c r="AF219" s="57"/>
      <c r="AG219" s="57"/>
      <c r="AH219" s="57"/>
      <c r="AI219" s="57"/>
      <c r="AJ219" s="57"/>
      <c r="AK219" s="57"/>
      <c r="AL219" s="57"/>
      <c r="AM219" s="57"/>
      <c r="AN219" s="57"/>
      <c r="AO219" s="57"/>
      <c r="AP219" s="57"/>
      <c r="AQ219" s="57"/>
      <c r="AR219" s="57"/>
      <c r="AS219" s="57"/>
    </row>
    <row r="220" spans="1:45">
      <c r="A220" s="57">
        <v>19</v>
      </c>
      <c r="B220" s="57">
        <v>2026</v>
      </c>
      <c r="C220" s="62">
        <f>SUM('4. Metinis CAPEX'!F$9:F$27)</f>
        <v>0</v>
      </c>
      <c r="D220" s="62" cm="1">
        <f t="array" ref="D220">SUMPRODUCT('4. Metinis CAPEX'!F$9:F$27,IFERROR('2. Investicijos'!$N$5:$N$23/'2. Investicijos'!$H$5:$H$23,0))</f>
        <v>0</v>
      </c>
      <c r="E220" s="62" cm="1">
        <f t="array" ref="E220">SUMPRODUCT('4. Metinis CAPEX'!F$9:F$27,IFERROR(('2. Investicijos'!$I$5:$I$23+'2. Investicijos'!$J$5:$J$23+'2. Investicijos'!$K$5:$K$23+'2. Investicijos'!$L$5:$L$23)/'2. Investicijos'!$H$5:$H$23,0))</f>
        <v>0</v>
      </c>
      <c r="F220" s="62" cm="1">
        <f t="array" ref="F220">SUM('2. Investicijos'!$H$5:$H$23*IF('2. Investicijos'!$G$5:$G$23&lt;=35,30%,40%))</f>
        <v>0</v>
      </c>
      <c r="G220" s="62" cm="1">
        <f t="array" ref="G220">IF(AND(2026&gt;=2026,2026&lt;2026+'6. Aprašo scenarijus'!$C$4),SUM('2. Investicijos'!$H$5:$H$23*IF('2. Investicijos'!$G$5:$G$23&lt;=35,30%,40%))/'6. Aprašo scenarijus'!$C$4,0)</f>
        <v>0</v>
      </c>
      <c r="H220" s="62">
        <f t="shared" si="75"/>
        <v>0</v>
      </c>
      <c r="I220" s="62">
        <f>SUM(F$5:F$23)</f>
        <v>0</v>
      </c>
      <c r="J220" s="62">
        <f>0</f>
        <v>0</v>
      </c>
      <c r="K220" s="62">
        <f>SUM(Z$5:Z$23)</f>
        <v>0</v>
      </c>
      <c r="L220" s="62">
        <f>SUM(P$5:P$23)</f>
        <v>0</v>
      </c>
      <c r="M220" s="62">
        <f>SUM(AJ$5:AJ$23)</f>
        <v>0</v>
      </c>
      <c r="N220" s="62">
        <f>'3. Finansinės prielaidos'!C30+M220</f>
        <v>0</v>
      </c>
      <c r="O220" s="62">
        <f>'3. Finansinės prielaidos'!C31</f>
        <v>0</v>
      </c>
      <c r="P220" s="62">
        <f>'3. Finansinės prielaidos'!C32</f>
        <v>0</v>
      </c>
      <c r="Q220" s="62" t="e">
        <f t="shared" si="76"/>
        <v>#VALUE!</v>
      </c>
      <c r="R220" s="62" t="e">
        <f>O220+Q220</f>
        <v>#VALUE!</v>
      </c>
      <c r="S220" s="62" t="e" cm="1">
        <f t="array" ref="S220">SUMPRODUCT(--(2026&gt;'2. Investicijos'!$F$5:$F$23),--(2026&lt;='2. Investicijos'!$F$5:$F$23+'2. Investicijos'!$G$5:$G$23),IFERROR(('2. Investicijos'!$M$5:$M$23+IF('2. Investicijos'!$N$5:$N$23&gt;('2. Investicijos'!$H$5:$H$23*IF('2. Investicijos'!$G$5:$G$23&lt;=35,30%,40%)),'2. Investicijos'!$N$5:$N$23-('2. Investicijos'!$H$5:$H$23*IF('2. Investicijos'!$G$5:$G$23&lt;=35,30%,40%)),0)+('2. Investicijos'!$H$5:$H$23*IF('2. Investicijos'!$G$5:$G$23&lt;=35,30%,40%)))/'2. Investicijos'!$G$5:$G$23,0))+SUMPRODUCT(--(2026&gt;'2. Investicijos'!$F$5:$F$23),--(2026&lt;='2. Investicijos'!$F$5:$F$23+'2. Investicijos'!$G$5:$G$23),IFERROR(('2. Investicijos'!$M$5:$M$23+IF('2. Investicijos'!$N$5:$N$23&gt;('2. Investicijos'!$H$5:$H$23*IF('2. Investicijos'!$G$5:$G$23&lt;=35,30%,40%)),'2. Investicijos'!$N$5:$N$23-('2. Investicijos'!$H$5:$H$23*IF('2. Investicijos'!$G$5:$G$23&lt;=35,30%,40%)),0))*(1-((2026-'2. Investicijos'!$F$5:$F$23)-1)/'2. Investicijos'!$G$5:$G$23),0)*'5. 0% scenarijus'!$C$5)</f>
        <v>#VALUE!</v>
      </c>
      <c r="T220" s="62" t="e">
        <f>'3. Finansinės prielaidos'!C29+S220+G220</f>
        <v>#VALUE!</v>
      </c>
      <c r="U220" s="62" t="e">
        <f t="shared" si="77"/>
        <v>#VALUE!</v>
      </c>
      <c r="V220" s="72" t="e">
        <f t="shared" si="78"/>
        <v>#VALUE!</v>
      </c>
      <c r="W220" s="72" t="e">
        <f t="shared" si="79"/>
        <v>#VALUE!</v>
      </c>
      <c r="X220" s="57" t="e">
        <f t="shared" si="80"/>
        <v>#VALUE!</v>
      </c>
      <c r="Y220" s="57" t="e">
        <f t="shared" si="81"/>
        <v>#VALUE!</v>
      </c>
      <c r="Z220" s="57"/>
      <c r="AA220" s="57"/>
      <c r="AB220" s="57"/>
      <c r="AC220" s="57"/>
      <c r="AD220" s="57"/>
      <c r="AE220" s="57"/>
      <c r="AF220" s="57"/>
      <c r="AG220" s="57"/>
      <c r="AH220" s="57"/>
      <c r="AI220" s="57"/>
      <c r="AJ220" s="57"/>
      <c r="AK220" s="57"/>
      <c r="AL220" s="57"/>
      <c r="AM220" s="57"/>
      <c r="AN220" s="57"/>
      <c r="AO220" s="57"/>
      <c r="AP220" s="57"/>
      <c r="AQ220" s="57"/>
      <c r="AR220" s="57"/>
      <c r="AS220" s="57"/>
    </row>
    <row r="221" spans="1:45">
      <c r="A221" s="57">
        <v>19</v>
      </c>
      <c r="B221" s="57">
        <v>2027</v>
      </c>
      <c r="C221" s="62">
        <f>SUM('4. Metinis CAPEX'!G$9:G$27)</f>
        <v>0</v>
      </c>
      <c r="D221" s="62" cm="1">
        <f t="array" ref="D221">SUMPRODUCT('4. Metinis CAPEX'!G$9:G$27,IFERROR('2. Investicijos'!$N$5:$N$23/'2. Investicijos'!$H$5:$H$23,0))</f>
        <v>0</v>
      </c>
      <c r="E221" s="62" cm="1">
        <f t="array" ref="E221">SUMPRODUCT('4. Metinis CAPEX'!G$9:G$27,IFERROR(('2. Investicijos'!$I$5:$I$23+'2. Investicijos'!$J$5:$J$23+'2. Investicijos'!$K$5:$K$23+'2. Investicijos'!$L$5:$L$23)/'2. Investicijos'!$H$5:$H$23,0))</f>
        <v>0</v>
      </c>
      <c r="F221" s="62" cm="1">
        <f t="array" ref="F221">SUM('2. Investicijos'!$H$5:$H$23*IF('2. Investicijos'!$G$5:$G$23&lt;=35,30%,40%))</f>
        <v>0</v>
      </c>
      <c r="G221" s="62" cm="1">
        <f t="array" ref="G221">IF(AND(2027&gt;=2026,2027&lt;2026+'6. Aprašo scenarijus'!$C$4),SUM('2. Investicijos'!$H$5:$H$23*IF('2. Investicijos'!$G$5:$G$23&lt;=35,30%,40%))/'6. Aprašo scenarijus'!$C$4,0)</f>
        <v>0</v>
      </c>
      <c r="H221" s="62">
        <f t="shared" si="75"/>
        <v>0</v>
      </c>
      <c r="I221" s="62">
        <f>SUM(G$5:G$23)</f>
        <v>0</v>
      </c>
      <c r="J221" s="62" t="e" cm="1">
        <f t="array" ref="J221">K221+L221+MAX(0,-R220)*IFERROR(SUMPRODUCT(IF('2. Investicijos'!$N$5:$N$23&gt;('2. Investicijos'!$H$5:$H$23*IF('2. Investicijos'!$G$5:$G$23&lt;=35,30%,40%)),'2. Investicijos'!$N$5:$N$23-('2. Investicijos'!$H$5:$H$23*IF('2. Investicijos'!$G$5:$G$23&lt;=35,30%,40%)),0),'2. Investicijos'!$O$5:$O$23/100)/SUM(IF('2. Investicijos'!$N$5:$N$23&gt;('2. Investicijos'!$H$5:$H$23*IF('2. Investicijos'!$G$5:$G$23&lt;=35,30%,40%)),'2. Investicijos'!$N$5:$N$23-('2. Investicijos'!$H$5:$H$23*IF('2. Investicijos'!$G$5:$G$23&lt;=35,30%,40%)),0)),0)</f>
        <v>#VALUE!</v>
      </c>
      <c r="K221" s="62">
        <f>SUM(AA$5:AA$23)</f>
        <v>0</v>
      </c>
      <c r="L221" s="62">
        <f>SUM(Q$5:Q$23)</f>
        <v>0</v>
      </c>
      <c r="M221" s="62">
        <f>SUM(AK$5:AK$23)</f>
        <v>0</v>
      </c>
      <c r="N221" s="62">
        <f>'3. Finansinės prielaidos'!D30+M221</f>
        <v>0</v>
      </c>
      <c r="O221" s="62">
        <f>'3. Finansinės prielaidos'!D31</f>
        <v>0</v>
      </c>
      <c r="P221" s="62">
        <f>'3. Finansinės prielaidos'!D32</f>
        <v>0</v>
      </c>
      <c r="Q221" s="62" t="e">
        <f t="shared" si="76"/>
        <v>#VALUE!</v>
      </c>
      <c r="R221" s="62" t="e">
        <f>R220+('3. Finansinės prielaidos'!D31-'3. Finansinės prielaidos'!C31)+Q221</f>
        <v>#VALUE!</v>
      </c>
      <c r="S221" s="62" t="e" cm="1">
        <f t="array" ref="S221">SUMPRODUCT(--(2027&gt;'2. Investicijos'!$F$5:$F$23),--(2027&lt;='2. Investicijos'!$F$5:$F$23+'2. Investicijos'!$G$5:$G$23),IFERROR(('2. Investicijos'!$M$5:$M$23+IF('2. Investicijos'!$N$5:$N$23&gt;('2. Investicijos'!$H$5:$H$23*IF('2. Investicijos'!$G$5:$G$23&lt;=35,30%,40%)),'2. Investicijos'!$N$5:$N$23-('2. Investicijos'!$H$5:$H$23*IF('2. Investicijos'!$G$5:$G$23&lt;=35,30%,40%)),0)+('2. Investicijos'!$H$5:$H$23*IF('2. Investicijos'!$G$5:$G$23&lt;=35,30%,40%)))/'2. Investicijos'!$G$5:$G$23,0))+SUMPRODUCT(--(2027&gt;'2. Investicijos'!$F$5:$F$23),--(2027&lt;='2. Investicijos'!$F$5:$F$23+'2. Investicijos'!$G$5:$G$23),IFERROR(('2. Investicijos'!$M$5:$M$23+IF('2. Investicijos'!$N$5:$N$23&gt;('2. Investicijos'!$H$5:$H$23*IF('2. Investicijos'!$G$5:$G$23&lt;=35,30%,40%)),'2. Investicijos'!$N$5:$N$23-('2. Investicijos'!$H$5:$H$23*IF('2. Investicijos'!$G$5:$G$23&lt;=35,30%,40%)),0))*(1-((2027-'2. Investicijos'!$F$5:$F$23)-1)/'2. Investicijos'!$G$5:$G$23),0)*'5. 0% scenarijus'!$C$5)</f>
        <v>#VALUE!</v>
      </c>
      <c r="T221" s="62" t="e">
        <f>'3. Finansinės prielaidos'!D29+S221+G221</f>
        <v>#VALUE!</v>
      </c>
      <c r="U221" s="62" t="e">
        <f t="shared" si="77"/>
        <v>#VALUE!</v>
      </c>
      <c r="V221" s="72" t="e">
        <f t="shared" si="78"/>
        <v>#VALUE!</v>
      </c>
      <c r="W221" s="72" t="e">
        <f t="shared" si="79"/>
        <v>#VALUE!</v>
      </c>
      <c r="X221" s="57" t="e">
        <f t="shared" si="80"/>
        <v>#VALUE!</v>
      </c>
      <c r="Y221" s="57" t="e">
        <f t="shared" si="81"/>
        <v>#VALUE!</v>
      </c>
      <c r="Z221" s="57"/>
      <c r="AA221" s="57"/>
      <c r="AB221" s="57"/>
      <c r="AC221" s="57"/>
      <c r="AD221" s="57"/>
      <c r="AE221" s="57"/>
      <c r="AF221" s="57"/>
      <c r="AG221" s="57"/>
      <c r="AH221" s="57"/>
      <c r="AI221" s="57"/>
      <c r="AJ221" s="57"/>
      <c r="AK221" s="57"/>
      <c r="AL221" s="57"/>
      <c r="AM221" s="57"/>
      <c r="AN221" s="57"/>
      <c r="AO221" s="57"/>
      <c r="AP221" s="57"/>
      <c r="AQ221" s="57"/>
      <c r="AR221" s="57"/>
      <c r="AS221" s="57"/>
    </row>
    <row r="222" spans="1:45">
      <c r="A222" s="57">
        <v>19</v>
      </c>
      <c r="B222" s="57">
        <v>2028</v>
      </c>
      <c r="C222" s="62">
        <f>SUM('4. Metinis CAPEX'!H$9:H$27)</f>
        <v>0</v>
      </c>
      <c r="D222" s="62" cm="1">
        <f t="array" ref="D222">SUMPRODUCT('4. Metinis CAPEX'!H$9:H$27,IFERROR('2. Investicijos'!$N$5:$N$23/'2. Investicijos'!$H$5:$H$23,0))</f>
        <v>0</v>
      </c>
      <c r="E222" s="62" cm="1">
        <f t="array" ref="E222">SUMPRODUCT('4. Metinis CAPEX'!H$9:H$27,IFERROR(('2. Investicijos'!$I$5:$I$23+'2. Investicijos'!$J$5:$J$23+'2. Investicijos'!$K$5:$K$23+'2. Investicijos'!$L$5:$L$23)/'2. Investicijos'!$H$5:$H$23,0))</f>
        <v>0</v>
      </c>
      <c r="F222" s="62" cm="1">
        <f t="array" ref="F222">SUM('2. Investicijos'!$H$5:$H$23*IF('2. Investicijos'!$G$5:$G$23&lt;=35,30%,40%))</f>
        <v>0</v>
      </c>
      <c r="G222" s="62" cm="1">
        <f t="array" ref="G222">IF(AND(2028&gt;=2026,2028&lt;2026+'6. Aprašo scenarijus'!$C$4),SUM('2. Investicijos'!$H$5:$H$23*IF('2. Investicijos'!$G$5:$G$23&lt;=35,30%,40%))/'6. Aprašo scenarijus'!$C$4,0)</f>
        <v>0</v>
      </c>
      <c r="H222" s="62">
        <f t="shared" si="75"/>
        <v>0</v>
      </c>
      <c r="I222" s="62">
        <f>SUM(H$5:H$23)</f>
        <v>0</v>
      </c>
      <c r="J222" s="62" t="e" cm="1">
        <f t="array" ref="J222">K222+L222+MAX(0,-R221)*IFERROR(SUMPRODUCT(IF('2. Investicijos'!$N$5:$N$23&gt;('2. Investicijos'!$H$5:$H$23*IF('2. Investicijos'!$G$5:$G$23&lt;=35,30%,40%)),'2. Investicijos'!$N$5:$N$23-('2. Investicijos'!$H$5:$H$23*IF('2. Investicijos'!$G$5:$G$23&lt;=35,30%,40%)),0),'2. Investicijos'!$O$5:$O$23/100)/SUM(IF('2. Investicijos'!$N$5:$N$23&gt;('2. Investicijos'!$H$5:$H$23*IF('2. Investicijos'!$G$5:$G$23&lt;=35,30%,40%)),'2. Investicijos'!$N$5:$N$23-('2. Investicijos'!$H$5:$H$23*IF('2. Investicijos'!$G$5:$G$23&lt;=35,30%,40%)),0)),0)</f>
        <v>#VALUE!</v>
      </c>
      <c r="K222" s="62">
        <f>SUM(AB$5:AB$23)</f>
        <v>0</v>
      </c>
      <c r="L222" s="62">
        <f>SUM(R$5:R$23)</f>
        <v>0</v>
      </c>
      <c r="M222" s="62">
        <f>SUM(AL$5:AL$23)</f>
        <v>0</v>
      </c>
      <c r="N222" s="62">
        <f>'3. Finansinės prielaidos'!E30+M222</f>
        <v>0</v>
      </c>
      <c r="O222" s="62">
        <f>'3. Finansinės prielaidos'!E31</f>
        <v>0</v>
      </c>
      <c r="P222" s="62">
        <f>'3. Finansinės prielaidos'!E32</f>
        <v>0</v>
      </c>
      <c r="Q222" s="62" t="e">
        <f t="shared" si="76"/>
        <v>#VALUE!</v>
      </c>
      <c r="R222" s="62" t="e">
        <f>R221+('3. Finansinės prielaidos'!E31-'3. Finansinės prielaidos'!D31)+Q222</f>
        <v>#VALUE!</v>
      </c>
      <c r="S222" s="62" t="e" cm="1">
        <f t="array" ref="S222">SUMPRODUCT(--(2028&gt;'2. Investicijos'!$F$5:$F$23),--(2028&lt;='2. Investicijos'!$F$5:$F$23+'2. Investicijos'!$G$5:$G$23),IFERROR(('2. Investicijos'!$M$5:$M$23+IF('2. Investicijos'!$N$5:$N$23&gt;('2. Investicijos'!$H$5:$H$23*IF('2. Investicijos'!$G$5:$G$23&lt;=35,30%,40%)),'2. Investicijos'!$N$5:$N$23-('2. Investicijos'!$H$5:$H$23*IF('2. Investicijos'!$G$5:$G$23&lt;=35,30%,40%)),0)+('2. Investicijos'!$H$5:$H$23*IF('2. Investicijos'!$G$5:$G$23&lt;=35,30%,40%)))/'2. Investicijos'!$G$5:$G$23,0))+SUMPRODUCT(--(2028&gt;'2. Investicijos'!$F$5:$F$23),--(2028&lt;='2. Investicijos'!$F$5:$F$23+'2. Investicijos'!$G$5:$G$23),IFERROR(('2. Investicijos'!$M$5:$M$23+IF('2. Investicijos'!$N$5:$N$23&gt;('2. Investicijos'!$H$5:$H$23*IF('2. Investicijos'!$G$5:$G$23&lt;=35,30%,40%)),'2. Investicijos'!$N$5:$N$23-('2. Investicijos'!$H$5:$H$23*IF('2. Investicijos'!$G$5:$G$23&lt;=35,30%,40%)),0))*(1-((2028-'2. Investicijos'!$F$5:$F$23)-1)/'2. Investicijos'!$G$5:$G$23),0)*'5. 0% scenarijus'!$C$5)</f>
        <v>#VALUE!</v>
      </c>
      <c r="T222" s="62" t="e">
        <f>'3. Finansinės prielaidos'!E29+S222+G222</f>
        <v>#VALUE!</v>
      </c>
      <c r="U222" s="62" t="e">
        <f t="shared" si="77"/>
        <v>#VALUE!</v>
      </c>
      <c r="V222" s="72" t="e">
        <f t="shared" si="78"/>
        <v>#VALUE!</v>
      </c>
      <c r="W222" s="72" t="e">
        <f t="shared" si="79"/>
        <v>#VALUE!</v>
      </c>
      <c r="X222" s="57" t="e">
        <f t="shared" si="80"/>
        <v>#VALUE!</v>
      </c>
      <c r="Y222" s="57" t="e">
        <f t="shared" si="81"/>
        <v>#VALUE!</v>
      </c>
      <c r="Z222" s="57"/>
      <c r="AA222" s="57"/>
      <c r="AB222" s="57"/>
      <c r="AC222" s="57"/>
      <c r="AD222" s="57"/>
      <c r="AE222" s="57"/>
      <c r="AF222" s="57"/>
      <c r="AG222" s="57"/>
      <c r="AH222" s="57"/>
      <c r="AI222" s="57"/>
      <c r="AJ222" s="57"/>
      <c r="AK222" s="57"/>
      <c r="AL222" s="57"/>
      <c r="AM222" s="57"/>
      <c r="AN222" s="57"/>
      <c r="AO222" s="57"/>
      <c r="AP222" s="57"/>
      <c r="AQ222" s="57"/>
      <c r="AR222" s="57"/>
      <c r="AS222" s="57"/>
    </row>
    <row r="223" spans="1:45">
      <c r="A223" s="57">
        <v>19</v>
      </c>
      <c r="B223" s="57">
        <v>2029</v>
      </c>
      <c r="C223" s="62">
        <f>SUM('4. Metinis CAPEX'!I$9:I$27)</f>
        <v>0</v>
      </c>
      <c r="D223" s="62" cm="1">
        <f t="array" ref="D223">SUMPRODUCT('4. Metinis CAPEX'!I$9:I$27,IFERROR('2. Investicijos'!$N$5:$N$23/'2. Investicijos'!$H$5:$H$23,0))</f>
        <v>0</v>
      </c>
      <c r="E223" s="62" cm="1">
        <f t="array" ref="E223">SUMPRODUCT('4. Metinis CAPEX'!I$9:I$27,IFERROR(('2. Investicijos'!$I$5:$I$23+'2. Investicijos'!$J$5:$J$23+'2. Investicijos'!$K$5:$K$23+'2. Investicijos'!$L$5:$L$23)/'2. Investicijos'!$H$5:$H$23,0))</f>
        <v>0</v>
      </c>
      <c r="F223" s="62" cm="1">
        <f t="array" ref="F223">SUM('2. Investicijos'!$H$5:$H$23*IF('2. Investicijos'!$G$5:$G$23&lt;=35,30%,40%))</f>
        <v>0</v>
      </c>
      <c r="G223" s="62" cm="1">
        <f t="array" ref="G223">IF(AND(2029&gt;=2026,2029&lt;2026+'6. Aprašo scenarijus'!$C$4),SUM('2. Investicijos'!$H$5:$H$23*IF('2. Investicijos'!$G$5:$G$23&lt;=35,30%,40%))/'6. Aprašo scenarijus'!$C$4,0)</f>
        <v>0</v>
      </c>
      <c r="H223" s="62">
        <f t="shared" si="75"/>
        <v>0</v>
      </c>
      <c r="I223" s="62">
        <f>SUM(I$5:I$23)</f>
        <v>0</v>
      </c>
      <c r="J223" s="62" t="e" cm="1">
        <f t="array" ref="J223">K223+L223+MAX(0,-R222)*IFERROR(SUMPRODUCT(IF('2. Investicijos'!$N$5:$N$23&gt;('2. Investicijos'!$H$5:$H$23*IF('2. Investicijos'!$G$5:$G$23&lt;=35,30%,40%)),'2. Investicijos'!$N$5:$N$23-('2. Investicijos'!$H$5:$H$23*IF('2. Investicijos'!$G$5:$G$23&lt;=35,30%,40%)),0),'2. Investicijos'!$O$5:$O$23/100)/SUM(IF('2. Investicijos'!$N$5:$N$23&gt;('2. Investicijos'!$H$5:$H$23*IF('2. Investicijos'!$G$5:$G$23&lt;=35,30%,40%)),'2. Investicijos'!$N$5:$N$23-('2. Investicijos'!$H$5:$H$23*IF('2. Investicijos'!$G$5:$G$23&lt;=35,30%,40%)),0)),0)</f>
        <v>#VALUE!</v>
      </c>
      <c r="K223" s="62">
        <f>SUM(AC$5:AC$23)</f>
        <v>0</v>
      </c>
      <c r="L223" s="62">
        <f>SUM(S$5:S$23)</f>
        <v>0</v>
      </c>
      <c r="M223" s="62">
        <f>SUM(AM$5:AM$23)</f>
        <v>0</v>
      </c>
      <c r="N223" s="62">
        <f>'3. Finansinės prielaidos'!F30+M223</f>
        <v>0</v>
      </c>
      <c r="O223" s="62">
        <f>'3. Finansinės prielaidos'!F31</f>
        <v>0</v>
      </c>
      <c r="P223" s="62">
        <f>'3. Finansinės prielaidos'!F32</f>
        <v>0</v>
      </c>
      <c r="Q223" s="62" t="e">
        <f t="shared" si="76"/>
        <v>#VALUE!</v>
      </c>
      <c r="R223" s="62" t="e">
        <f>R222+('3. Finansinės prielaidos'!F31-'3. Finansinės prielaidos'!E31)+Q223</f>
        <v>#VALUE!</v>
      </c>
      <c r="S223" s="62" t="e" cm="1">
        <f t="array" ref="S223">SUMPRODUCT(--(2029&gt;'2. Investicijos'!$F$5:$F$23),--(2029&lt;='2. Investicijos'!$F$5:$F$23+'2. Investicijos'!$G$5:$G$23),IFERROR(('2. Investicijos'!$M$5:$M$23+IF('2. Investicijos'!$N$5:$N$23&gt;('2. Investicijos'!$H$5:$H$23*IF('2. Investicijos'!$G$5:$G$23&lt;=35,30%,40%)),'2. Investicijos'!$N$5:$N$23-('2. Investicijos'!$H$5:$H$23*IF('2. Investicijos'!$G$5:$G$23&lt;=35,30%,40%)),0)+('2. Investicijos'!$H$5:$H$23*IF('2. Investicijos'!$G$5:$G$23&lt;=35,30%,40%)))/'2. Investicijos'!$G$5:$G$23,0))+SUMPRODUCT(--(2029&gt;'2. Investicijos'!$F$5:$F$23),--(2029&lt;='2. Investicijos'!$F$5:$F$23+'2. Investicijos'!$G$5:$G$23),IFERROR(('2. Investicijos'!$M$5:$M$23+IF('2. Investicijos'!$N$5:$N$23&gt;('2. Investicijos'!$H$5:$H$23*IF('2. Investicijos'!$G$5:$G$23&lt;=35,30%,40%)),'2. Investicijos'!$N$5:$N$23-('2. Investicijos'!$H$5:$H$23*IF('2. Investicijos'!$G$5:$G$23&lt;=35,30%,40%)),0))*(1-((2029-'2. Investicijos'!$F$5:$F$23)-1)/'2. Investicijos'!$G$5:$G$23),0)*'5. 0% scenarijus'!$C$5)</f>
        <v>#VALUE!</v>
      </c>
      <c r="T223" s="62" t="e">
        <f>'3. Finansinės prielaidos'!F29+S223+G223</f>
        <v>#VALUE!</v>
      </c>
      <c r="U223" s="62" t="e">
        <f t="shared" si="77"/>
        <v>#VALUE!</v>
      </c>
      <c r="V223" s="72" t="e">
        <f t="shared" si="78"/>
        <v>#VALUE!</v>
      </c>
      <c r="W223" s="72" t="e">
        <f t="shared" si="79"/>
        <v>#VALUE!</v>
      </c>
      <c r="X223" s="57" t="e">
        <f t="shared" si="80"/>
        <v>#VALUE!</v>
      </c>
      <c r="Y223" s="57" t="e">
        <f t="shared" si="81"/>
        <v>#VALUE!</v>
      </c>
      <c r="Z223" s="57"/>
      <c r="AA223" s="57"/>
      <c r="AB223" s="57"/>
      <c r="AC223" s="57"/>
      <c r="AD223" s="57"/>
      <c r="AE223" s="57"/>
      <c r="AF223" s="57"/>
      <c r="AG223" s="57"/>
      <c r="AH223" s="57"/>
      <c r="AI223" s="57"/>
      <c r="AJ223" s="57"/>
      <c r="AK223" s="57"/>
      <c r="AL223" s="57"/>
      <c r="AM223" s="57"/>
      <c r="AN223" s="57"/>
      <c r="AO223" s="57"/>
      <c r="AP223" s="57"/>
      <c r="AQ223" s="57"/>
      <c r="AR223" s="57"/>
      <c r="AS223" s="57"/>
    </row>
    <row r="224" spans="1:45">
      <c r="A224" s="57">
        <v>19</v>
      </c>
      <c r="B224" s="57">
        <v>2030</v>
      </c>
      <c r="C224" s="62">
        <f>SUM('4. Metinis CAPEX'!J$9:J$27)</f>
        <v>0</v>
      </c>
      <c r="D224" s="62" cm="1">
        <f t="array" ref="D224">SUMPRODUCT('4. Metinis CAPEX'!J$9:J$27,IFERROR('2. Investicijos'!$N$5:$N$23/'2. Investicijos'!$H$5:$H$23,0))</f>
        <v>0</v>
      </c>
      <c r="E224" s="62" cm="1">
        <f t="array" ref="E224">SUMPRODUCT('4. Metinis CAPEX'!J$9:J$27,IFERROR(('2. Investicijos'!$I$5:$I$23+'2. Investicijos'!$J$5:$J$23+'2. Investicijos'!$K$5:$K$23+'2. Investicijos'!$L$5:$L$23)/'2. Investicijos'!$H$5:$H$23,0))</f>
        <v>0</v>
      </c>
      <c r="F224" s="62" cm="1">
        <f t="array" ref="F224">SUM('2. Investicijos'!$H$5:$H$23*IF('2. Investicijos'!$G$5:$G$23&lt;=35,30%,40%))</f>
        <v>0</v>
      </c>
      <c r="G224" s="62" cm="1">
        <f t="array" ref="G224">IF(AND(2030&gt;=2026,2030&lt;2026+'6. Aprašo scenarijus'!$C$4),SUM('2. Investicijos'!$H$5:$H$23*IF('2. Investicijos'!$G$5:$G$23&lt;=35,30%,40%))/'6. Aprašo scenarijus'!$C$4,0)</f>
        <v>0</v>
      </c>
      <c r="H224" s="62">
        <f t="shared" si="75"/>
        <v>0</v>
      </c>
      <c r="I224" s="62">
        <f>SUM(J$5:J$23)</f>
        <v>0</v>
      </c>
      <c r="J224" s="62" t="e" cm="1">
        <f t="array" ref="J224">K224+L224+MAX(0,-R223)*IFERROR(SUMPRODUCT(IF('2. Investicijos'!$N$5:$N$23&gt;('2. Investicijos'!$H$5:$H$23*IF('2. Investicijos'!$G$5:$G$23&lt;=35,30%,40%)),'2. Investicijos'!$N$5:$N$23-('2. Investicijos'!$H$5:$H$23*IF('2. Investicijos'!$G$5:$G$23&lt;=35,30%,40%)),0),'2. Investicijos'!$O$5:$O$23/100)/SUM(IF('2. Investicijos'!$N$5:$N$23&gt;('2. Investicijos'!$H$5:$H$23*IF('2. Investicijos'!$G$5:$G$23&lt;=35,30%,40%)),'2. Investicijos'!$N$5:$N$23-('2. Investicijos'!$H$5:$H$23*IF('2. Investicijos'!$G$5:$G$23&lt;=35,30%,40%)),0)),0)</f>
        <v>#VALUE!</v>
      </c>
      <c r="K224" s="62">
        <f>SUM(AD$5:AD$23)</f>
        <v>0</v>
      </c>
      <c r="L224" s="62">
        <f>SUM(T$5:T$23)</f>
        <v>0</v>
      </c>
      <c r="M224" s="62">
        <f>SUM(AN$5:AN$23)</f>
        <v>0</v>
      </c>
      <c r="N224" s="62">
        <f>'3. Finansinės prielaidos'!G30+M224</f>
        <v>0</v>
      </c>
      <c r="O224" s="62">
        <f>'3. Finansinės prielaidos'!G31</f>
        <v>0</v>
      </c>
      <c r="P224" s="62">
        <f>'3. Finansinės prielaidos'!G32</f>
        <v>0</v>
      </c>
      <c r="Q224" s="62" t="e">
        <f t="shared" si="76"/>
        <v>#VALUE!</v>
      </c>
      <c r="R224" s="62" t="e">
        <f>R223+('3. Finansinės prielaidos'!G31-'3. Finansinės prielaidos'!F31)+Q224</f>
        <v>#VALUE!</v>
      </c>
      <c r="S224" s="62" t="e" cm="1">
        <f t="array" ref="S224">SUMPRODUCT(--(2030&gt;'2. Investicijos'!$F$5:$F$23),--(2030&lt;='2. Investicijos'!$F$5:$F$23+'2. Investicijos'!$G$5:$G$23),IFERROR(('2. Investicijos'!$M$5:$M$23+IF('2. Investicijos'!$N$5:$N$23&gt;('2. Investicijos'!$H$5:$H$23*IF('2. Investicijos'!$G$5:$G$23&lt;=35,30%,40%)),'2. Investicijos'!$N$5:$N$23-('2. Investicijos'!$H$5:$H$23*IF('2. Investicijos'!$G$5:$G$23&lt;=35,30%,40%)),0)+('2. Investicijos'!$H$5:$H$23*IF('2. Investicijos'!$G$5:$G$23&lt;=35,30%,40%)))/'2. Investicijos'!$G$5:$G$23,0))+SUMPRODUCT(--(2030&gt;'2. Investicijos'!$F$5:$F$23),--(2030&lt;='2. Investicijos'!$F$5:$F$23+'2. Investicijos'!$G$5:$G$23),IFERROR(('2. Investicijos'!$M$5:$M$23+IF('2. Investicijos'!$N$5:$N$23&gt;('2. Investicijos'!$H$5:$H$23*IF('2. Investicijos'!$G$5:$G$23&lt;=35,30%,40%)),'2. Investicijos'!$N$5:$N$23-('2. Investicijos'!$H$5:$H$23*IF('2. Investicijos'!$G$5:$G$23&lt;=35,30%,40%)),0))*(1-((2030-'2. Investicijos'!$F$5:$F$23)-1)/'2. Investicijos'!$G$5:$G$23),0)*'5. 0% scenarijus'!$C$5)</f>
        <v>#VALUE!</v>
      </c>
      <c r="T224" s="62" t="e">
        <f>'3. Finansinės prielaidos'!G29+S224+G224</f>
        <v>#VALUE!</v>
      </c>
      <c r="U224" s="62" t="e">
        <f t="shared" si="77"/>
        <v>#VALUE!</v>
      </c>
      <c r="V224" s="72" t="e">
        <f t="shared" si="78"/>
        <v>#VALUE!</v>
      </c>
      <c r="W224" s="72" t="e">
        <f t="shared" si="79"/>
        <v>#VALUE!</v>
      </c>
      <c r="X224" s="57" t="e">
        <f t="shared" si="80"/>
        <v>#VALUE!</v>
      </c>
      <c r="Y224" s="57" t="e">
        <f t="shared" si="81"/>
        <v>#VALUE!</v>
      </c>
      <c r="Z224" s="57"/>
      <c r="AA224" s="57"/>
      <c r="AB224" s="57"/>
      <c r="AC224" s="57"/>
      <c r="AD224" s="57"/>
      <c r="AE224" s="57"/>
      <c r="AF224" s="57"/>
      <c r="AG224" s="57"/>
      <c r="AH224" s="57"/>
      <c r="AI224" s="57"/>
      <c r="AJ224" s="57"/>
      <c r="AK224" s="57"/>
      <c r="AL224" s="57"/>
      <c r="AM224" s="57"/>
      <c r="AN224" s="57"/>
      <c r="AO224" s="57"/>
      <c r="AP224" s="57"/>
      <c r="AQ224" s="57"/>
      <c r="AR224" s="57"/>
      <c r="AS224" s="57"/>
    </row>
    <row r="225" spans="1:45">
      <c r="A225" s="57">
        <v>19</v>
      </c>
      <c r="B225" s="57">
        <v>2031</v>
      </c>
      <c r="C225" s="62">
        <f>SUM('4. Metinis CAPEX'!K$9:K$27)</f>
        <v>0</v>
      </c>
      <c r="D225" s="62" cm="1">
        <f t="array" ref="D225">SUMPRODUCT('4. Metinis CAPEX'!K$9:K$27,IFERROR('2. Investicijos'!$N$5:$N$23/'2. Investicijos'!$H$5:$H$23,0))</f>
        <v>0</v>
      </c>
      <c r="E225" s="62" cm="1">
        <f t="array" ref="E225">SUMPRODUCT('4. Metinis CAPEX'!K$9:K$27,IFERROR(('2. Investicijos'!$I$5:$I$23+'2. Investicijos'!$J$5:$J$23+'2. Investicijos'!$K$5:$K$23+'2. Investicijos'!$L$5:$L$23)/'2. Investicijos'!$H$5:$H$23,0))</f>
        <v>0</v>
      </c>
      <c r="F225" s="62" cm="1">
        <f t="array" ref="F225">SUM('2. Investicijos'!$H$5:$H$23*IF('2. Investicijos'!$G$5:$G$23&lt;=35,30%,40%))</f>
        <v>0</v>
      </c>
      <c r="G225" s="62" cm="1">
        <f t="array" ref="G225">IF(AND(2031&gt;=2026,2031&lt;2026+'6. Aprašo scenarijus'!$C$4),SUM('2. Investicijos'!$H$5:$H$23*IF('2. Investicijos'!$G$5:$G$23&lt;=35,30%,40%))/'6. Aprašo scenarijus'!$C$4,0)</f>
        <v>0</v>
      </c>
      <c r="H225" s="62">
        <f t="shared" si="75"/>
        <v>0</v>
      </c>
      <c r="I225" s="62">
        <f>SUM(K$5:K$23)</f>
        <v>0</v>
      </c>
      <c r="J225" s="62" t="e" cm="1">
        <f t="array" ref="J225">K225+L225+MAX(0,-R224)*IFERROR(SUMPRODUCT(IF('2. Investicijos'!$N$5:$N$23&gt;('2. Investicijos'!$H$5:$H$23*IF('2. Investicijos'!$G$5:$G$23&lt;=35,30%,40%)),'2. Investicijos'!$N$5:$N$23-('2. Investicijos'!$H$5:$H$23*IF('2. Investicijos'!$G$5:$G$23&lt;=35,30%,40%)),0),'2. Investicijos'!$O$5:$O$23/100)/SUM(IF('2. Investicijos'!$N$5:$N$23&gt;('2. Investicijos'!$H$5:$H$23*IF('2. Investicijos'!$G$5:$G$23&lt;=35,30%,40%)),'2. Investicijos'!$N$5:$N$23-('2. Investicijos'!$H$5:$H$23*IF('2. Investicijos'!$G$5:$G$23&lt;=35,30%,40%)),0)),0)</f>
        <v>#VALUE!</v>
      </c>
      <c r="K225" s="62">
        <f>SUM(AE$5:AE$23)</f>
        <v>0</v>
      </c>
      <c r="L225" s="62">
        <f>SUM(U$5:U$23)</f>
        <v>0</v>
      </c>
      <c r="M225" s="62">
        <f>SUM(AO$5:AO$23)</f>
        <v>0</v>
      </c>
      <c r="N225" s="62">
        <f>'3. Finansinės prielaidos'!H30+M225</f>
        <v>0</v>
      </c>
      <c r="O225" s="62">
        <f>'3. Finansinės prielaidos'!H31</f>
        <v>0</v>
      </c>
      <c r="P225" s="62">
        <f>'3. Finansinės prielaidos'!H32</f>
        <v>0</v>
      </c>
      <c r="Q225" s="62" t="e">
        <f t="shared" si="76"/>
        <v>#VALUE!</v>
      </c>
      <c r="R225" s="62" t="e">
        <f>R224+('3. Finansinės prielaidos'!H31-'3. Finansinės prielaidos'!G31)+Q225</f>
        <v>#VALUE!</v>
      </c>
      <c r="S225" s="62" t="e" cm="1">
        <f t="array" ref="S225">SUMPRODUCT(--(2031&gt;'2. Investicijos'!$F$5:$F$23),--(2031&lt;='2. Investicijos'!$F$5:$F$23+'2. Investicijos'!$G$5:$G$23),IFERROR(('2. Investicijos'!$M$5:$M$23+IF('2. Investicijos'!$N$5:$N$23&gt;('2. Investicijos'!$H$5:$H$23*IF('2. Investicijos'!$G$5:$G$23&lt;=35,30%,40%)),'2. Investicijos'!$N$5:$N$23-('2. Investicijos'!$H$5:$H$23*IF('2. Investicijos'!$G$5:$G$23&lt;=35,30%,40%)),0)+('2. Investicijos'!$H$5:$H$23*IF('2. Investicijos'!$G$5:$G$23&lt;=35,30%,40%)))/'2. Investicijos'!$G$5:$G$23,0))+SUMPRODUCT(--(2031&gt;'2. Investicijos'!$F$5:$F$23),--(2031&lt;='2. Investicijos'!$F$5:$F$23+'2. Investicijos'!$G$5:$G$23),IFERROR(('2. Investicijos'!$M$5:$M$23+IF('2. Investicijos'!$N$5:$N$23&gt;('2. Investicijos'!$H$5:$H$23*IF('2. Investicijos'!$G$5:$G$23&lt;=35,30%,40%)),'2. Investicijos'!$N$5:$N$23-('2. Investicijos'!$H$5:$H$23*IF('2. Investicijos'!$G$5:$G$23&lt;=35,30%,40%)),0))*(1-((2031-'2. Investicijos'!$F$5:$F$23)-1)/'2. Investicijos'!$G$5:$G$23),0)*'5. 0% scenarijus'!$C$5)</f>
        <v>#VALUE!</v>
      </c>
      <c r="T225" s="62" t="e">
        <f>'3. Finansinės prielaidos'!H29+S225+G225</f>
        <v>#VALUE!</v>
      </c>
      <c r="U225" s="62" t="e">
        <f t="shared" si="77"/>
        <v>#VALUE!</v>
      </c>
      <c r="V225" s="72" t="e">
        <f t="shared" si="78"/>
        <v>#VALUE!</v>
      </c>
      <c r="W225" s="72" t="e">
        <f t="shared" si="79"/>
        <v>#VALUE!</v>
      </c>
      <c r="X225" s="57" t="e">
        <f t="shared" si="80"/>
        <v>#VALUE!</v>
      </c>
      <c r="Y225" s="57" t="e">
        <f t="shared" si="81"/>
        <v>#VALUE!</v>
      </c>
      <c r="Z225" s="57"/>
      <c r="AA225" s="57"/>
      <c r="AB225" s="57"/>
      <c r="AC225" s="57"/>
      <c r="AD225" s="57"/>
      <c r="AE225" s="57"/>
      <c r="AF225" s="57"/>
      <c r="AG225" s="57"/>
      <c r="AH225" s="57"/>
      <c r="AI225" s="57"/>
      <c r="AJ225" s="57"/>
      <c r="AK225" s="57"/>
      <c r="AL225" s="57"/>
      <c r="AM225" s="57"/>
      <c r="AN225" s="57"/>
      <c r="AO225" s="57"/>
      <c r="AP225" s="57"/>
      <c r="AQ225" s="57"/>
      <c r="AR225" s="57"/>
      <c r="AS225" s="57"/>
    </row>
    <row r="226" spans="1:45">
      <c r="A226" s="57">
        <v>19</v>
      </c>
      <c r="B226" s="57">
        <v>2032</v>
      </c>
      <c r="C226" s="62">
        <f>SUM('4. Metinis CAPEX'!L$9:L$27)</f>
        <v>0</v>
      </c>
      <c r="D226" s="62" cm="1">
        <f t="array" ref="D226">SUMPRODUCT('4. Metinis CAPEX'!L$9:L$27,IFERROR('2. Investicijos'!$N$5:$N$23/'2. Investicijos'!$H$5:$H$23,0))</f>
        <v>0</v>
      </c>
      <c r="E226" s="62" cm="1">
        <f t="array" ref="E226">SUMPRODUCT('4. Metinis CAPEX'!L$9:L$27,IFERROR(('2. Investicijos'!$I$5:$I$23+'2. Investicijos'!$J$5:$J$23+'2. Investicijos'!$K$5:$K$23+'2. Investicijos'!$L$5:$L$23)/'2. Investicijos'!$H$5:$H$23,0))</f>
        <v>0</v>
      </c>
      <c r="F226" s="62" cm="1">
        <f t="array" ref="F226">SUM('2. Investicijos'!$H$5:$H$23*IF('2. Investicijos'!$G$5:$G$23&lt;=35,30%,40%))</f>
        <v>0</v>
      </c>
      <c r="G226" s="62" cm="1">
        <f t="array" ref="G226">IF(AND(2032&gt;=2026,2032&lt;2026+'6. Aprašo scenarijus'!$C$4),SUM('2. Investicijos'!$H$5:$H$23*IF('2. Investicijos'!$G$5:$G$23&lt;=35,30%,40%))/'6. Aprašo scenarijus'!$C$4,0)</f>
        <v>0</v>
      </c>
      <c r="H226" s="62">
        <f t="shared" si="75"/>
        <v>0</v>
      </c>
      <c r="I226" s="62">
        <f>SUM(L$5:L$23)</f>
        <v>0</v>
      </c>
      <c r="J226" s="62" t="e" cm="1">
        <f t="array" ref="J226">K226+L226+MAX(0,-R225)*IFERROR(SUMPRODUCT(IF('2. Investicijos'!$N$5:$N$23&gt;('2. Investicijos'!$H$5:$H$23*IF('2. Investicijos'!$G$5:$G$23&lt;=35,30%,40%)),'2. Investicijos'!$N$5:$N$23-('2. Investicijos'!$H$5:$H$23*IF('2. Investicijos'!$G$5:$G$23&lt;=35,30%,40%)),0),'2. Investicijos'!$O$5:$O$23/100)/SUM(IF('2. Investicijos'!$N$5:$N$23&gt;('2. Investicijos'!$H$5:$H$23*IF('2. Investicijos'!$G$5:$G$23&lt;=35,30%,40%)),'2. Investicijos'!$N$5:$N$23-('2. Investicijos'!$H$5:$H$23*IF('2. Investicijos'!$G$5:$G$23&lt;=35,30%,40%)),0)),0)</f>
        <v>#VALUE!</v>
      </c>
      <c r="K226" s="62">
        <f>SUM(AF$5:AF$23)</f>
        <v>0</v>
      </c>
      <c r="L226" s="62">
        <f>SUM(V$5:V$23)</f>
        <v>0</v>
      </c>
      <c r="M226" s="62">
        <f>SUM(AP$5:AP$23)</f>
        <v>0</v>
      </c>
      <c r="N226" s="62">
        <f>'3. Finansinės prielaidos'!I30+M226</f>
        <v>0</v>
      </c>
      <c r="O226" s="62">
        <f>'3. Finansinės prielaidos'!I31</f>
        <v>0</v>
      </c>
      <c r="P226" s="62">
        <f>'3. Finansinės prielaidos'!I32</f>
        <v>0</v>
      </c>
      <c r="Q226" s="62" t="e">
        <f t="shared" si="76"/>
        <v>#VALUE!</v>
      </c>
      <c r="R226" s="62" t="e">
        <f>R225+('3. Finansinės prielaidos'!I31-'3. Finansinės prielaidos'!H31)+Q226</f>
        <v>#VALUE!</v>
      </c>
      <c r="S226" s="62" t="e" cm="1">
        <f t="array" ref="S226">SUMPRODUCT(--(2032&gt;'2. Investicijos'!$F$5:$F$23),--(2032&lt;='2. Investicijos'!$F$5:$F$23+'2. Investicijos'!$G$5:$G$23),IFERROR(('2. Investicijos'!$M$5:$M$23+IF('2. Investicijos'!$N$5:$N$23&gt;('2. Investicijos'!$H$5:$H$23*IF('2. Investicijos'!$G$5:$G$23&lt;=35,30%,40%)),'2. Investicijos'!$N$5:$N$23-('2. Investicijos'!$H$5:$H$23*IF('2. Investicijos'!$G$5:$G$23&lt;=35,30%,40%)),0)+('2. Investicijos'!$H$5:$H$23*IF('2. Investicijos'!$G$5:$G$23&lt;=35,30%,40%)))/'2. Investicijos'!$G$5:$G$23,0))+SUMPRODUCT(--(2032&gt;'2. Investicijos'!$F$5:$F$23),--(2032&lt;='2. Investicijos'!$F$5:$F$23+'2. Investicijos'!$G$5:$G$23),IFERROR(('2. Investicijos'!$M$5:$M$23+IF('2. Investicijos'!$N$5:$N$23&gt;('2. Investicijos'!$H$5:$H$23*IF('2. Investicijos'!$G$5:$G$23&lt;=35,30%,40%)),'2. Investicijos'!$N$5:$N$23-('2. Investicijos'!$H$5:$H$23*IF('2. Investicijos'!$G$5:$G$23&lt;=35,30%,40%)),0))*(1-((2032-'2. Investicijos'!$F$5:$F$23)-1)/'2. Investicijos'!$G$5:$G$23),0)*'5. 0% scenarijus'!$C$5)</f>
        <v>#VALUE!</v>
      </c>
      <c r="T226" s="62" t="e">
        <f>'3. Finansinės prielaidos'!I29+S226+G226</f>
        <v>#VALUE!</v>
      </c>
      <c r="U226" s="62" t="e">
        <f t="shared" si="77"/>
        <v>#VALUE!</v>
      </c>
      <c r="V226" s="72" t="e">
        <f t="shared" si="78"/>
        <v>#VALUE!</v>
      </c>
      <c r="W226" s="72" t="e">
        <f t="shared" si="79"/>
        <v>#VALUE!</v>
      </c>
      <c r="X226" s="57" t="e">
        <f t="shared" si="80"/>
        <v>#VALUE!</v>
      </c>
      <c r="Y226" s="57" t="e">
        <f t="shared" si="81"/>
        <v>#VALUE!</v>
      </c>
      <c r="Z226" s="57"/>
      <c r="AA226" s="57"/>
      <c r="AB226" s="57"/>
      <c r="AC226" s="57"/>
      <c r="AD226" s="57"/>
      <c r="AE226" s="57"/>
      <c r="AF226" s="57"/>
      <c r="AG226" s="57"/>
      <c r="AH226" s="57"/>
      <c r="AI226" s="57"/>
      <c r="AJ226" s="57"/>
      <c r="AK226" s="57"/>
      <c r="AL226" s="57"/>
      <c r="AM226" s="57"/>
      <c r="AN226" s="57"/>
      <c r="AO226" s="57"/>
      <c r="AP226" s="57"/>
      <c r="AQ226" s="57"/>
      <c r="AR226" s="57"/>
      <c r="AS226" s="57"/>
    </row>
    <row r="227" spans="1:45">
      <c r="A227" s="57">
        <v>19</v>
      </c>
      <c r="B227" s="57">
        <v>2033</v>
      </c>
      <c r="C227" s="62">
        <f>SUM('4. Metinis CAPEX'!M$9:M$27)</f>
        <v>0</v>
      </c>
      <c r="D227" s="62" cm="1">
        <f t="array" ref="D227">SUMPRODUCT('4. Metinis CAPEX'!M$9:M$27,IFERROR('2. Investicijos'!$N$5:$N$23/'2. Investicijos'!$H$5:$H$23,0))</f>
        <v>0</v>
      </c>
      <c r="E227" s="62" cm="1">
        <f t="array" ref="E227">SUMPRODUCT('4. Metinis CAPEX'!M$9:M$27,IFERROR(('2. Investicijos'!$I$5:$I$23+'2. Investicijos'!$J$5:$J$23+'2. Investicijos'!$K$5:$K$23+'2. Investicijos'!$L$5:$L$23)/'2. Investicijos'!$H$5:$H$23,0))</f>
        <v>0</v>
      </c>
      <c r="F227" s="62" cm="1">
        <f t="array" ref="F227">SUM('2. Investicijos'!$H$5:$H$23*IF('2. Investicijos'!$G$5:$G$23&lt;=35,30%,40%))</f>
        <v>0</v>
      </c>
      <c r="G227" s="62" cm="1">
        <f t="array" ref="G227">IF(AND(2033&gt;=2026,2033&lt;2026+'6. Aprašo scenarijus'!$C$4),SUM('2. Investicijos'!$H$5:$H$23*IF('2. Investicijos'!$G$5:$G$23&lt;=35,30%,40%))/'6. Aprašo scenarijus'!$C$4,0)</f>
        <v>0</v>
      </c>
      <c r="H227" s="62">
        <f t="shared" si="75"/>
        <v>0</v>
      </c>
      <c r="I227" s="62">
        <f>SUM(M$5:M$23)</f>
        <v>0</v>
      </c>
      <c r="J227" s="62" t="e" cm="1">
        <f t="array" ref="J227">K227+L227+MAX(0,-R226)*IFERROR(SUMPRODUCT(IF('2. Investicijos'!$N$5:$N$23&gt;('2. Investicijos'!$H$5:$H$23*IF('2. Investicijos'!$G$5:$G$23&lt;=35,30%,40%)),'2. Investicijos'!$N$5:$N$23-('2. Investicijos'!$H$5:$H$23*IF('2. Investicijos'!$G$5:$G$23&lt;=35,30%,40%)),0),'2. Investicijos'!$O$5:$O$23/100)/SUM(IF('2. Investicijos'!$N$5:$N$23&gt;('2. Investicijos'!$H$5:$H$23*IF('2. Investicijos'!$G$5:$G$23&lt;=35,30%,40%)),'2. Investicijos'!$N$5:$N$23-('2. Investicijos'!$H$5:$H$23*IF('2. Investicijos'!$G$5:$G$23&lt;=35,30%,40%)),0)),0)</f>
        <v>#VALUE!</v>
      </c>
      <c r="K227" s="62">
        <f>SUM(AG$5:AG$23)</f>
        <v>0</v>
      </c>
      <c r="L227" s="62">
        <f>SUM(W$5:W$23)</f>
        <v>0</v>
      </c>
      <c r="M227" s="62">
        <f>SUM(AQ$5:AQ$23)</f>
        <v>0</v>
      </c>
      <c r="N227" s="62">
        <f>'3. Finansinės prielaidos'!J30+M227</f>
        <v>0</v>
      </c>
      <c r="O227" s="62">
        <f>'3. Finansinės prielaidos'!J31</f>
        <v>0</v>
      </c>
      <c r="P227" s="62">
        <f>'3. Finansinės prielaidos'!J32</f>
        <v>0</v>
      </c>
      <c r="Q227" s="62" t="e">
        <f t="shared" si="76"/>
        <v>#VALUE!</v>
      </c>
      <c r="R227" s="62" t="e">
        <f>R226+('3. Finansinės prielaidos'!J31-'3. Finansinės prielaidos'!I31)+Q227</f>
        <v>#VALUE!</v>
      </c>
      <c r="S227" s="62" t="e" cm="1">
        <f t="array" ref="S227">SUMPRODUCT(--(2033&gt;'2. Investicijos'!$F$5:$F$23),--(2033&lt;='2. Investicijos'!$F$5:$F$23+'2. Investicijos'!$G$5:$G$23),IFERROR(('2. Investicijos'!$M$5:$M$23+IF('2. Investicijos'!$N$5:$N$23&gt;('2. Investicijos'!$H$5:$H$23*IF('2. Investicijos'!$G$5:$G$23&lt;=35,30%,40%)),'2. Investicijos'!$N$5:$N$23-('2. Investicijos'!$H$5:$H$23*IF('2. Investicijos'!$G$5:$G$23&lt;=35,30%,40%)),0)+('2. Investicijos'!$H$5:$H$23*IF('2. Investicijos'!$G$5:$G$23&lt;=35,30%,40%)))/'2. Investicijos'!$G$5:$G$23,0))+SUMPRODUCT(--(2033&gt;'2. Investicijos'!$F$5:$F$23),--(2033&lt;='2. Investicijos'!$F$5:$F$23+'2. Investicijos'!$G$5:$G$23),IFERROR(('2. Investicijos'!$M$5:$M$23+IF('2. Investicijos'!$N$5:$N$23&gt;('2. Investicijos'!$H$5:$H$23*IF('2. Investicijos'!$G$5:$G$23&lt;=35,30%,40%)),'2. Investicijos'!$N$5:$N$23-('2. Investicijos'!$H$5:$H$23*IF('2. Investicijos'!$G$5:$G$23&lt;=35,30%,40%)),0))*(1-((2033-'2. Investicijos'!$F$5:$F$23)-1)/'2. Investicijos'!$G$5:$G$23),0)*'5. 0% scenarijus'!$C$5)</f>
        <v>#VALUE!</v>
      </c>
      <c r="T227" s="62" t="e">
        <f>'3. Finansinės prielaidos'!J29+S227+G227</f>
        <v>#VALUE!</v>
      </c>
      <c r="U227" s="62" t="e">
        <f t="shared" si="77"/>
        <v>#VALUE!</v>
      </c>
      <c r="V227" s="72" t="e">
        <f t="shared" si="78"/>
        <v>#VALUE!</v>
      </c>
      <c r="W227" s="72" t="e">
        <f t="shared" si="79"/>
        <v>#VALUE!</v>
      </c>
      <c r="X227" s="57" t="e">
        <f t="shared" si="80"/>
        <v>#VALUE!</v>
      </c>
      <c r="Y227" s="57" t="e">
        <f t="shared" si="81"/>
        <v>#VALUE!</v>
      </c>
      <c r="Z227" s="57"/>
      <c r="AA227" s="57"/>
      <c r="AB227" s="57"/>
      <c r="AC227" s="57"/>
      <c r="AD227" s="57"/>
      <c r="AE227" s="57"/>
      <c r="AF227" s="57"/>
      <c r="AG227" s="57"/>
      <c r="AH227" s="57"/>
      <c r="AI227" s="57"/>
      <c r="AJ227" s="57"/>
      <c r="AK227" s="57"/>
      <c r="AL227" s="57"/>
      <c r="AM227" s="57"/>
      <c r="AN227" s="57"/>
      <c r="AO227" s="57"/>
      <c r="AP227" s="57"/>
      <c r="AQ227" s="57"/>
      <c r="AR227" s="57"/>
      <c r="AS227" s="57"/>
    </row>
    <row r="228" spans="1:45">
      <c r="A228" s="57">
        <v>19</v>
      </c>
      <c r="B228" s="57">
        <v>2034</v>
      </c>
      <c r="C228" s="62">
        <f>SUM('4. Metinis CAPEX'!N$9:N$27)</f>
        <v>0</v>
      </c>
      <c r="D228" s="62" cm="1">
        <f t="array" ref="D228">SUMPRODUCT('4. Metinis CAPEX'!N$9:N$27,IFERROR('2. Investicijos'!$N$5:$N$23/'2. Investicijos'!$H$5:$H$23,0))</f>
        <v>0</v>
      </c>
      <c r="E228" s="62" cm="1">
        <f t="array" ref="E228">SUMPRODUCT('4. Metinis CAPEX'!N$9:N$27,IFERROR(('2. Investicijos'!$I$5:$I$23+'2. Investicijos'!$J$5:$J$23+'2. Investicijos'!$K$5:$K$23+'2. Investicijos'!$L$5:$L$23)/'2. Investicijos'!$H$5:$H$23,0))</f>
        <v>0</v>
      </c>
      <c r="F228" s="62" cm="1">
        <f t="array" ref="F228">SUM('2. Investicijos'!$H$5:$H$23*IF('2. Investicijos'!$G$5:$G$23&lt;=35,30%,40%))</f>
        <v>0</v>
      </c>
      <c r="G228" s="62" cm="1">
        <f t="array" ref="G228">IF(AND(2034&gt;=2026,2034&lt;2026+'6. Aprašo scenarijus'!$C$4),SUM('2. Investicijos'!$H$5:$H$23*IF('2. Investicijos'!$G$5:$G$23&lt;=35,30%,40%))/'6. Aprašo scenarijus'!$C$4,0)</f>
        <v>0</v>
      </c>
      <c r="H228" s="62">
        <f t="shared" si="75"/>
        <v>0</v>
      </c>
      <c r="I228" s="62">
        <f>SUM(N$5:N$23)</f>
        <v>0</v>
      </c>
      <c r="J228" s="62" t="e" cm="1">
        <f t="array" ref="J228">K228+L228+MAX(0,-R227)*IFERROR(SUMPRODUCT(IF('2. Investicijos'!$N$5:$N$23&gt;('2. Investicijos'!$H$5:$H$23*IF('2. Investicijos'!$G$5:$G$23&lt;=35,30%,40%)),'2. Investicijos'!$N$5:$N$23-('2. Investicijos'!$H$5:$H$23*IF('2. Investicijos'!$G$5:$G$23&lt;=35,30%,40%)),0),'2. Investicijos'!$O$5:$O$23/100)/SUM(IF('2. Investicijos'!$N$5:$N$23&gt;('2. Investicijos'!$H$5:$H$23*IF('2. Investicijos'!$G$5:$G$23&lt;=35,30%,40%)),'2. Investicijos'!$N$5:$N$23-('2. Investicijos'!$H$5:$H$23*IF('2. Investicijos'!$G$5:$G$23&lt;=35,30%,40%)),0)),0)</f>
        <v>#VALUE!</v>
      </c>
      <c r="K228" s="62">
        <f>SUM(AH$5:AH$23)</f>
        <v>0</v>
      </c>
      <c r="L228" s="62">
        <f>SUM(X$5:X$23)</f>
        <v>0</v>
      </c>
      <c r="M228" s="62">
        <f>SUM(AR$5:AR$23)</f>
        <v>0</v>
      </c>
      <c r="N228" s="62">
        <f>'3. Finansinės prielaidos'!K30+M228</f>
        <v>0</v>
      </c>
      <c r="O228" s="62">
        <f>'3. Finansinės prielaidos'!K31</f>
        <v>0</v>
      </c>
      <c r="P228" s="62">
        <f>'3. Finansinės prielaidos'!K32</f>
        <v>0</v>
      </c>
      <c r="Q228" s="62" t="e">
        <f t="shared" si="76"/>
        <v>#VALUE!</v>
      </c>
      <c r="R228" s="62" t="e">
        <f>R227+('3. Finansinės prielaidos'!K31-'3. Finansinės prielaidos'!J31)+Q228</f>
        <v>#VALUE!</v>
      </c>
      <c r="S228" s="62" t="e" cm="1">
        <f t="array" ref="S228">SUMPRODUCT(--(2034&gt;'2. Investicijos'!$F$5:$F$23),--(2034&lt;='2. Investicijos'!$F$5:$F$23+'2. Investicijos'!$G$5:$G$23),IFERROR(('2. Investicijos'!$M$5:$M$23+IF('2. Investicijos'!$N$5:$N$23&gt;('2. Investicijos'!$H$5:$H$23*IF('2. Investicijos'!$G$5:$G$23&lt;=35,30%,40%)),'2. Investicijos'!$N$5:$N$23-('2. Investicijos'!$H$5:$H$23*IF('2. Investicijos'!$G$5:$G$23&lt;=35,30%,40%)),0)+('2. Investicijos'!$H$5:$H$23*IF('2. Investicijos'!$G$5:$G$23&lt;=35,30%,40%)))/'2. Investicijos'!$G$5:$G$23,0))+SUMPRODUCT(--(2034&gt;'2. Investicijos'!$F$5:$F$23),--(2034&lt;='2. Investicijos'!$F$5:$F$23+'2. Investicijos'!$G$5:$G$23),IFERROR(('2. Investicijos'!$M$5:$M$23+IF('2. Investicijos'!$N$5:$N$23&gt;('2. Investicijos'!$H$5:$H$23*IF('2. Investicijos'!$G$5:$G$23&lt;=35,30%,40%)),'2. Investicijos'!$N$5:$N$23-('2. Investicijos'!$H$5:$H$23*IF('2. Investicijos'!$G$5:$G$23&lt;=35,30%,40%)),0))*(1-((2034-'2. Investicijos'!$F$5:$F$23)-1)/'2. Investicijos'!$G$5:$G$23),0)*'5. 0% scenarijus'!$C$5)</f>
        <v>#VALUE!</v>
      </c>
      <c r="T228" s="62" t="e">
        <f>'3. Finansinės prielaidos'!K29+S228+G228</f>
        <v>#VALUE!</v>
      </c>
      <c r="U228" s="62" t="e">
        <f t="shared" si="77"/>
        <v>#VALUE!</v>
      </c>
      <c r="V228" s="72" t="e">
        <f t="shared" si="78"/>
        <v>#VALUE!</v>
      </c>
      <c r="W228" s="72" t="e">
        <f t="shared" si="79"/>
        <v>#VALUE!</v>
      </c>
      <c r="X228" s="57" t="e">
        <f t="shared" si="80"/>
        <v>#VALUE!</v>
      </c>
      <c r="Y228" s="57" t="e">
        <f t="shared" si="81"/>
        <v>#VALUE!</v>
      </c>
      <c r="Z228" s="57"/>
      <c r="AA228" s="57"/>
      <c r="AB228" s="57"/>
      <c r="AC228" s="57"/>
      <c r="AD228" s="57"/>
      <c r="AE228" s="57"/>
      <c r="AF228" s="57"/>
      <c r="AG228" s="57"/>
      <c r="AH228" s="57"/>
      <c r="AI228" s="57"/>
      <c r="AJ228" s="57"/>
      <c r="AK228" s="57"/>
      <c r="AL228" s="57"/>
      <c r="AM228" s="57"/>
      <c r="AN228" s="57"/>
      <c r="AO228" s="57"/>
      <c r="AP228" s="57"/>
      <c r="AQ228" s="57"/>
      <c r="AR228" s="57"/>
      <c r="AS228" s="57"/>
    </row>
    <row r="229" spans="1:45">
      <c r="A229" s="57">
        <v>19</v>
      </c>
      <c r="B229" s="57">
        <v>2035</v>
      </c>
      <c r="C229" s="62">
        <f>SUM('4. Metinis CAPEX'!O$9:O$27)</f>
        <v>0</v>
      </c>
      <c r="D229" s="62" cm="1">
        <f t="array" ref="D229">SUMPRODUCT('4. Metinis CAPEX'!O$9:O$27,IFERROR('2. Investicijos'!$N$5:$N$23/'2. Investicijos'!$H$5:$H$23,0))</f>
        <v>0</v>
      </c>
      <c r="E229" s="62" cm="1">
        <f t="array" ref="E229">SUMPRODUCT('4. Metinis CAPEX'!O$9:O$27,IFERROR(('2. Investicijos'!$I$5:$I$23+'2. Investicijos'!$J$5:$J$23+'2. Investicijos'!$K$5:$K$23+'2. Investicijos'!$L$5:$L$23)/'2. Investicijos'!$H$5:$H$23,0))</f>
        <v>0</v>
      </c>
      <c r="F229" s="62" cm="1">
        <f t="array" ref="F229">SUM('2. Investicijos'!$H$5:$H$23*IF('2. Investicijos'!$G$5:$G$23&lt;=35,30%,40%))</f>
        <v>0</v>
      </c>
      <c r="G229" s="62" cm="1">
        <f t="array" ref="G229">IF(AND(2035&gt;=2026,2035&lt;2026+'6. Aprašo scenarijus'!$C$4),SUM('2. Investicijos'!$H$5:$H$23*IF('2. Investicijos'!$G$5:$G$23&lt;=35,30%,40%))/'6. Aprašo scenarijus'!$C$4,0)</f>
        <v>0</v>
      </c>
      <c r="H229" s="62">
        <f t="shared" si="75"/>
        <v>0</v>
      </c>
      <c r="I229" s="62">
        <f>SUM(O$5:O$23)</f>
        <v>0</v>
      </c>
      <c r="J229" s="62" t="e" cm="1">
        <f t="array" ref="J229">K229+L229+MAX(0,-R228)*IFERROR(SUMPRODUCT(IF('2. Investicijos'!$N$5:$N$23&gt;('2. Investicijos'!$H$5:$H$23*IF('2. Investicijos'!$G$5:$G$23&lt;=35,30%,40%)),'2. Investicijos'!$N$5:$N$23-('2. Investicijos'!$H$5:$H$23*IF('2. Investicijos'!$G$5:$G$23&lt;=35,30%,40%)),0),'2. Investicijos'!$O$5:$O$23/100)/SUM(IF('2. Investicijos'!$N$5:$N$23&gt;('2. Investicijos'!$H$5:$H$23*IF('2. Investicijos'!$G$5:$G$23&lt;=35,30%,40%)),'2. Investicijos'!$N$5:$N$23-('2. Investicijos'!$H$5:$H$23*IF('2. Investicijos'!$G$5:$G$23&lt;=35,30%,40%)),0)),0)</f>
        <v>#VALUE!</v>
      </c>
      <c r="K229" s="62">
        <f>SUM(AI$5:AI$23)</f>
        <v>0</v>
      </c>
      <c r="L229" s="62">
        <f>SUM(Y$5:Y$23)</f>
        <v>0</v>
      </c>
      <c r="M229" s="62">
        <f>SUM(AS$5:AS$23)</f>
        <v>0</v>
      </c>
      <c r="N229" s="62">
        <f>'3. Finansinės prielaidos'!L30+M229</f>
        <v>0</v>
      </c>
      <c r="O229" s="62">
        <f>'3. Finansinės prielaidos'!L31</f>
        <v>0</v>
      </c>
      <c r="P229" s="62">
        <f>'3. Finansinės prielaidos'!L32</f>
        <v>0</v>
      </c>
      <c r="Q229" s="62" t="e">
        <f t="shared" si="76"/>
        <v>#VALUE!</v>
      </c>
      <c r="R229" s="62" t="e">
        <f>R228+('3. Finansinės prielaidos'!L31-'3. Finansinės prielaidos'!K31)+Q229</f>
        <v>#VALUE!</v>
      </c>
      <c r="S229" s="62" t="e" cm="1">
        <f t="array" ref="S229">SUMPRODUCT(--(2035&gt;'2. Investicijos'!$F$5:$F$23),--(2035&lt;='2. Investicijos'!$F$5:$F$23+'2. Investicijos'!$G$5:$G$23),IFERROR(('2. Investicijos'!$M$5:$M$23+IF('2. Investicijos'!$N$5:$N$23&gt;('2. Investicijos'!$H$5:$H$23*IF('2. Investicijos'!$G$5:$G$23&lt;=35,30%,40%)),'2. Investicijos'!$N$5:$N$23-('2. Investicijos'!$H$5:$H$23*IF('2. Investicijos'!$G$5:$G$23&lt;=35,30%,40%)),0)+('2. Investicijos'!$H$5:$H$23*IF('2. Investicijos'!$G$5:$G$23&lt;=35,30%,40%)))/'2. Investicijos'!$G$5:$G$23,0))+SUMPRODUCT(--(2035&gt;'2. Investicijos'!$F$5:$F$23),--(2035&lt;='2. Investicijos'!$F$5:$F$23+'2. Investicijos'!$G$5:$G$23),IFERROR(('2. Investicijos'!$M$5:$M$23+IF('2. Investicijos'!$N$5:$N$23&gt;('2. Investicijos'!$H$5:$H$23*IF('2. Investicijos'!$G$5:$G$23&lt;=35,30%,40%)),'2. Investicijos'!$N$5:$N$23-('2. Investicijos'!$H$5:$H$23*IF('2. Investicijos'!$G$5:$G$23&lt;=35,30%,40%)),0))*(1-((2035-'2. Investicijos'!$F$5:$F$23)-1)/'2. Investicijos'!$G$5:$G$23),0)*'5. 0% scenarijus'!$C$5)</f>
        <v>#VALUE!</v>
      </c>
      <c r="T229" s="62" t="e">
        <f>'3. Finansinės prielaidos'!L29+S229+G229</f>
        <v>#VALUE!</v>
      </c>
      <c r="U229" s="62" t="e">
        <f t="shared" si="77"/>
        <v>#VALUE!</v>
      </c>
      <c r="V229" s="72" t="e">
        <f t="shared" si="78"/>
        <v>#VALUE!</v>
      </c>
      <c r="W229" s="72" t="e">
        <f t="shared" si="79"/>
        <v>#VALUE!</v>
      </c>
      <c r="X229" s="57" t="e">
        <f t="shared" si="80"/>
        <v>#VALUE!</v>
      </c>
      <c r="Y229" s="57" t="e">
        <f t="shared" si="81"/>
        <v>#VALUE!</v>
      </c>
      <c r="Z229" s="57"/>
      <c r="AA229" s="57"/>
      <c r="AB229" s="57"/>
      <c r="AC229" s="57"/>
      <c r="AD229" s="57"/>
      <c r="AE229" s="57"/>
      <c r="AF229" s="57"/>
      <c r="AG229" s="57"/>
      <c r="AH229" s="57"/>
      <c r="AI229" s="57"/>
      <c r="AJ229" s="57"/>
      <c r="AK229" s="57"/>
      <c r="AL229" s="57"/>
      <c r="AM229" s="57"/>
      <c r="AN229" s="57"/>
      <c r="AO229" s="57"/>
      <c r="AP229" s="57"/>
      <c r="AQ229" s="57"/>
      <c r="AR229" s="57"/>
      <c r="AS229" s="57"/>
    </row>
    <row r="230" spans="1:45">
      <c r="A230" s="57">
        <v>20</v>
      </c>
      <c r="B230" s="57">
        <v>2026</v>
      </c>
      <c r="C230" s="62">
        <f>SUM('4. Metinis CAPEX'!F$9:F$28)</f>
        <v>0</v>
      </c>
      <c r="D230" s="62" cm="1">
        <f t="array" ref="D230">SUMPRODUCT('4. Metinis CAPEX'!F$9:F$28,IFERROR('2. Investicijos'!$N$5:$N$24/'2. Investicijos'!$H$5:$H$24,0))</f>
        <v>0</v>
      </c>
      <c r="E230" s="62" cm="1">
        <f t="array" ref="E230">SUMPRODUCT('4. Metinis CAPEX'!F$9:F$28,IFERROR(('2. Investicijos'!$I$5:$I$24+'2. Investicijos'!$J$5:$J$24+'2. Investicijos'!$K$5:$K$24+'2. Investicijos'!$L$5:$L$24)/'2. Investicijos'!$H$5:$H$24,0))</f>
        <v>0</v>
      </c>
      <c r="F230" s="62" cm="1">
        <f t="array" ref="F230">SUM('2. Investicijos'!$H$5:$H$24*IF('2. Investicijos'!$G$5:$G$24&lt;=35,30%,40%))</f>
        <v>0</v>
      </c>
      <c r="G230" s="62" cm="1">
        <f t="array" ref="G230">IF(AND(2026&gt;=2026,2026&lt;2026+'6. Aprašo scenarijus'!$C$4),SUM('2. Investicijos'!$H$5:$H$24*IF('2. Investicijos'!$G$5:$G$24&lt;=35,30%,40%))/'6. Aprašo scenarijus'!$C$4,0)</f>
        <v>0</v>
      </c>
      <c r="H230" s="62">
        <f t="shared" si="75"/>
        <v>0</v>
      </c>
      <c r="I230" s="62">
        <f>SUM(F$5:F$24)</f>
        <v>0</v>
      </c>
      <c r="J230" s="62">
        <f>0</f>
        <v>0</v>
      </c>
      <c r="K230" s="62">
        <f>SUM(Z$5:Z$24)</f>
        <v>0</v>
      </c>
      <c r="L230" s="62">
        <f>SUM(P$5:P$24)</f>
        <v>0</v>
      </c>
      <c r="M230" s="62">
        <f>SUM(AJ$5:AJ$24)</f>
        <v>0</v>
      </c>
      <c r="N230" s="62">
        <f>'3. Finansinės prielaidos'!C30+M230</f>
        <v>0</v>
      </c>
      <c r="O230" s="62">
        <f>'3. Finansinės prielaidos'!C31</f>
        <v>0</v>
      </c>
      <c r="P230" s="62">
        <f>'3. Finansinės prielaidos'!C32</f>
        <v>0</v>
      </c>
      <c r="Q230" s="62" t="e">
        <f t="shared" si="76"/>
        <v>#VALUE!</v>
      </c>
      <c r="R230" s="62" t="e">
        <f>O230+Q230</f>
        <v>#VALUE!</v>
      </c>
      <c r="S230" s="62" t="e" cm="1">
        <f t="array" ref="S230">SUMPRODUCT(--(2026&gt;'2. Investicijos'!$F$5:$F$24),--(2026&lt;='2. Investicijos'!$F$5:$F$24+'2. Investicijos'!$G$5:$G$24),IFERROR(('2. Investicijos'!$M$5:$M$24+IF('2. Investicijos'!$N$5:$N$24&gt;('2. Investicijos'!$H$5:$H$24*IF('2. Investicijos'!$G$5:$G$24&lt;=35,30%,40%)),'2. Investicijos'!$N$5:$N$24-('2. Investicijos'!$H$5:$H$24*IF('2. Investicijos'!$G$5:$G$24&lt;=35,30%,40%)),0)+('2. Investicijos'!$H$5:$H$24*IF('2. Investicijos'!$G$5:$G$24&lt;=35,30%,40%)))/'2. Investicijos'!$G$5:$G$24,0))+SUMPRODUCT(--(2026&gt;'2. Investicijos'!$F$5:$F$24),--(2026&lt;='2. Investicijos'!$F$5:$F$24+'2. Investicijos'!$G$5:$G$24),IFERROR(('2. Investicijos'!$M$5:$M$24+IF('2. Investicijos'!$N$5:$N$24&gt;('2. Investicijos'!$H$5:$H$24*IF('2. Investicijos'!$G$5:$G$24&lt;=35,30%,40%)),'2. Investicijos'!$N$5:$N$24-('2. Investicijos'!$H$5:$H$24*IF('2. Investicijos'!$G$5:$G$24&lt;=35,30%,40%)),0))*(1-((2026-'2. Investicijos'!$F$5:$F$24)-1)/'2. Investicijos'!$G$5:$G$24),0)*'5. 0% scenarijus'!$C$5)</f>
        <v>#VALUE!</v>
      </c>
      <c r="T230" s="62" t="e">
        <f>'3. Finansinės prielaidos'!C29+S230+G230</f>
        <v>#VALUE!</v>
      </c>
      <c r="U230" s="62" t="e">
        <f t="shared" si="77"/>
        <v>#VALUE!</v>
      </c>
      <c r="V230" s="72" t="e">
        <f t="shared" si="78"/>
        <v>#VALUE!</v>
      </c>
      <c r="W230" s="72" t="e">
        <f t="shared" si="79"/>
        <v>#VALUE!</v>
      </c>
      <c r="X230" s="57" t="e">
        <f t="shared" si="80"/>
        <v>#VALUE!</v>
      </c>
      <c r="Y230" s="57" t="e">
        <f t="shared" si="81"/>
        <v>#VALUE!</v>
      </c>
      <c r="Z230" s="57"/>
      <c r="AA230" s="57"/>
      <c r="AB230" s="57"/>
      <c r="AC230" s="57"/>
      <c r="AD230" s="57"/>
      <c r="AE230" s="57"/>
      <c r="AF230" s="57"/>
      <c r="AG230" s="57"/>
      <c r="AH230" s="57"/>
      <c r="AI230" s="57"/>
      <c r="AJ230" s="57"/>
      <c r="AK230" s="57"/>
      <c r="AL230" s="57"/>
      <c r="AM230" s="57"/>
      <c r="AN230" s="57"/>
      <c r="AO230" s="57"/>
      <c r="AP230" s="57"/>
      <c r="AQ230" s="57"/>
      <c r="AR230" s="57"/>
      <c r="AS230" s="57"/>
    </row>
    <row r="231" spans="1:45">
      <c r="A231" s="57">
        <v>20</v>
      </c>
      <c r="B231" s="57">
        <v>2027</v>
      </c>
      <c r="C231" s="62">
        <f>SUM('4. Metinis CAPEX'!G$9:G$28)</f>
        <v>0</v>
      </c>
      <c r="D231" s="62" cm="1">
        <f t="array" ref="D231">SUMPRODUCT('4. Metinis CAPEX'!G$9:G$28,IFERROR('2. Investicijos'!$N$5:$N$24/'2. Investicijos'!$H$5:$H$24,0))</f>
        <v>0</v>
      </c>
      <c r="E231" s="62" cm="1">
        <f t="array" ref="E231">SUMPRODUCT('4. Metinis CAPEX'!G$9:G$28,IFERROR(('2. Investicijos'!$I$5:$I$24+'2. Investicijos'!$J$5:$J$24+'2. Investicijos'!$K$5:$K$24+'2. Investicijos'!$L$5:$L$24)/'2. Investicijos'!$H$5:$H$24,0))</f>
        <v>0</v>
      </c>
      <c r="F231" s="62" cm="1">
        <f t="array" ref="F231">SUM('2. Investicijos'!$H$5:$H$24*IF('2. Investicijos'!$G$5:$G$24&lt;=35,30%,40%))</f>
        <v>0</v>
      </c>
      <c r="G231" s="62" cm="1">
        <f t="array" ref="G231">IF(AND(2027&gt;=2026,2027&lt;2026+'6. Aprašo scenarijus'!$C$4),SUM('2. Investicijos'!$H$5:$H$24*IF('2. Investicijos'!$G$5:$G$24&lt;=35,30%,40%))/'6. Aprašo scenarijus'!$C$4,0)</f>
        <v>0</v>
      </c>
      <c r="H231" s="62">
        <f t="shared" si="75"/>
        <v>0</v>
      </c>
      <c r="I231" s="62">
        <f>SUM(G$5:G$24)</f>
        <v>0</v>
      </c>
      <c r="J231" s="62" t="e" cm="1">
        <f t="array" ref="J231">K231+L231+MAX(0,-R230)*IFERROR(SUMPRODUCT(IF('2.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#VALUE!</v>
      </c>
      <c r="K231" s="62">
        <f>SUM(AA$5:AA$24)</f>
        <v>0</v>
      </c>
      <c r="L231" s="62">
        <f>SUM(Q$5:Q$24)</f>
        <v>0</v>
      </c>
      <c r="M231" s="62">
        <f>SUM(AK$5:AK$24)</f>
        <v>0</v>
      </c>
      <c r="N231" s="62">
        <f>'3. Finansinės prielaidos'!D30+M231</f>
        <v>0</v>
      </c>
      <c r="O231" s="62">
        <f>'3. Finansinės prielaidos'!D31</f>
        <v>0</v>
      </c>
      <c r="P231" s="62">
        <f>'3. Finansinės prielaidos'!D32</f>
        <v>0</v>
      </c>
      <c r="Q231" s="62" t="e">
        <f t="shared" si="76"/>
        <v>#VALUE!</v>
      </c>
      <c r="R231" s="62" t="e">
        <f>R230+('3. Finansinės prielaidos'!D31-'3. Finansinės prielaidos'!C31)+Q231</f>
        <v>#VALUE!</v>
      </c>
      <c r="S231" s="62" t="e" cm="1">
        <f t="array" ref="S231">SUMPRODUCT(--(2027&gt;'2. Investicijos'!$F$5:$F$24),--(2027&lt;='2. Investicijos'!$F$5:$F$24+'2. Investicijos'!$G$5:$G$24),IFERROR(('2. Investicijos'!$M$5:$M$24+IF('2. Investicijos'!$N$5:$N$24&gt;('2. Investicijos'!$H$5:$H$24*IF('2. Investicijos'!$G$5:$G$24&lt;=35,30%,40%)),'2. Investicijos'!$N$5:$N$24-('2. Investicijos'!$H$5:$H$24*IF('2. Investicijos'!$G$5:$G$24&lt;=35,30%,40%)),0)+('2. Investicijos'!$H$5:$H$24*IF('2. Investicijos'!$G$5:$G$24&lt;=35,30%,40%)))/'2. Investicijos'!$G$5:$G$24,0))+SUMPRODUCT(--(2027&gt;'2. Investicijos'!$F$5:$F$24),--(2027&lt;='2. Investicijos'!$F$5:$F$24+'2. Investicijos'!$G$5:$G$24),IFERROR(('2. Investicijos'!$M$5:$M$24+IF('2. Investicijos'!$N$5:$N$24&gt;('2. Investicijos'!$H$5:$H$24*IF('2. Investicijos'!$G$5:$G$24&lt;=35,30%,40%)),'2. Investicijos'!$N$5:$N$24-('2. Investicijos'!$H$5:$H$24*IF('2. Investicijos'!$G$5:$G$24&lt;=35,30%,40%)),0))*(1-((2027-'2. Investicijos'!$F$5:$F$24)-1)/'2. Investicijos'!$G$5:$G$24),0)*'5. 0% scenarijus'!$C$5)</f>
        <v>#VALUE!</v>
      </c>
      <c r="T231" s="62" t="e">
        <f>'3. Finansinės prielaidos'!D29+S231+G231</f>
        <v>#VALUE!</v>
      </c>
      <c r="U231" s="62" t="e">
        <f t="shared" si="77"/>
        <v>#VALUE!</v>
      </c>
      <c r="V231" s="72" t="e">
        <f t="shared" si="78"/>
        <v>#VALUE!</v>
      </c>
      <c r="W231" s="72" t="e">
        <f t="shared" si="79"/>
        <v>#VALUE!</v>
      </c>
      <c r="X231" s="57" t="e">
        <f t="shared" si="80"/>
        <v>#VALUE!</v>
      </c>
      <c r="Y231" s="57" t="e">
        <f t="shared" si="81"/>
        <v>#VALUE!</v>
      </c>
      <c r="Z231" s="57"/>
      <c r="AA231" s="57"/>
      <c r="AB231" s="57"/>
      <c r="AC231" s="57"/>
      <c r="AD231" s="57"/>
      <c r="AE231" s="57"/>
      <c r="AF231" s="57"/>
      <c r="AG231" s="57"/>
      <c r="AH231" s="57"/>
      <c r="AI231" s="57"/>
      <c r="AJ231" s="57"/>
      <c r="AK231" s="57"/>
      <c r="AL231" s="57"/>
      <c r="AM231" s="57"/>
      <c r="AN231" s="57"/>
      <c r="AO231" s="57"/>
      <c r="AP231" s="57"/>
      <c r="AQ231" s="57"/>
      <c r="AR231" s="57"/>
      <c r="AS231" s="57"/>
    </row>
    <row r="232" spans="1:45">
      <c r="A232" s="57">
        <v>20</v>
      </c>
      <c r="B232" s="57">
        <v>2028</v>
      </c>
      <c r="C232" s="62">
        <f>SUM('4. Metinis CAPEX'!H$9:H$28)</f>
        <v>0</v>
      </c>
      <c r="D232" s="62" cm="1">
        <f t="array" ref="D232">SUMPRODUCT('4. Metinis CAPEX'!H$9:H$28,IFERROR('2. Investicijos'!$N$5:$N$24/'2. Investicijos'!$H$5:$H$24,0))</f>
        <v>0</v>
      </c>
      <c r="E232" s="62" cm="1">
        <f t="array" ref="E232">SUMPRODUCT('4. Metinis CAPEX'!H$9:H$28,IFERROR(('2. Investicijos'!$I$5:$I$24+'2. Investicijos'!$J$5:$J$24+'2. Investicijos'!$K$5:$K$24+'2. Investicijos'!$L$5:$L$24)/'2. Investicijos'!$H$5:$H$24,0))</f>
        <v>0</v>
      </c>
      <c r="F232" s="62" cm="1">
        <f t="array" ref="F232">SUM('2. Investicijos'!$H$5:$H$24*IF('2. Investicijos'!$G$5:$G$24&lt;=35,30%,40%))</f>
        <v>0</v>
      </c>
      <c r="G232" s="62" cm="1">
        <f t="array" ref="G232">IF(AND(2028&gt;=2026,2028&lt;2026+'6. Aprašo scenarijus'!$C$4),SUM('2. Investicijos'!$H$5:$H$24*IF('2. Investicijos'!$G$5:$G$24&lt;=35,30%,40%))/'6. Aprašo scenarijus'!$C$4,0)</f>
        <v>0</v>
      </c>
      <c r="H232" s="62">
        <f t="shared" ref="H232:H239" si="82">D232-I232</f>
        <v>0</v>
      </c>
      <c r="I232" s="62">
        <f>SUM(H$5:H$24)</f>
        <v>0</v>
      </c>
      <c r="J232" s="62" t="e" cm="1">
        <f t="array" ref="J232">K232+L232+MAX(0,-R231)*IFERROR(SUMPRODUCT(IF('2.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#VALUE!</v>
      </c>
      <c r="K232" s="62">
        <f>SUM(AB$5:AB$24)</f>
        <v>0</v>
      </c>
      <c r="L232" s="62">
        <f>SUM(R$5:R$24)</f>
        <v>0</v>
      </c>
      <c r="M232" s="62">
        <f>SUM(AL$5:AL$24)</f>
        <v>0</v>
      </c>
      <c r="N232" s="62">
        <f>'3. Finansinės prielaidos'!E30+M232</f>
        <v>0</v>
      </c>
      <c r="O232" s="62">
        <f>'3. Finansinės prielaidos'!E31</f>
        <v>0</v>
      </c>
      <c r="P232" s="62">
        <f>'3. Finansinės prielaidos'!E32</f>
        <v>0</v>
      </c>
      <c r="Q232" s="62" t="e">
        <f t="shared" ref="Q232:Q239" si="83">S232+G232+I232+E232-C232-J232</f>
        <v>#VALUE!</v>
      </c>
      <c r="R232" s="62" t="e">
        <f>R231+('3. Finansinės prielaidos'!E31-'3. Finansinės prielaidos'!D31)+Q232</f>
        <v>#VALUE!</v>
      </c>
      <c r="S232" s="62" t="e" cm="1">
        <f t="array" ref="S232">SUMPRODUCT(--(2028&gt;'2. Investicijos'!$F$5:$F$24),--(2028&lt;='2. Investicijos'!$F$5:$F$24+'2. Investicijos'!$G$5:$G$24),IFERROR(('2. Investicijos'!$M$5:$M$24+IF('2. Investicijos'!$N$5:$N$24&gt;('2. Investicijos'!$H$5:$H$24*IF('2. Investicijos'!$G$5:$G$24&lt;=35,30%,40%)),'2. Investicijos'!$N$5:$N$24-('2. Investicijos'!$H$5:$H$24*IF('2. Investicijos'!$G$5:$G$24&lt;=35,30%,40%)),0)+('2. Investicijos'!$H$5:$H$24*IF('2. Investicijos'!$G$5:$G$24&lt;=35,30%,40%)))/'2. Investicijos'!$G$5:$G$24,0))+SUMPRODUCT(--(2028&gt;'2. Investicijos'!$F$5:$F$24),--(2028&lt;='2. Investicijos'!$F$5:$F$24+'2. Investicijos'!$G$5:$G$24),IFERROR(('2. Investicijos'!$M$5:$M$24+IF('2. Investicijos'!$N$5:$N$24&gt;('2. Investicijos'!$H$5:$H$24*IF('2. Investicijos'!$G$5:$G$24&lt;=35,30%,40%)),'2. Investicijos'!$N$5:$N$24-('2. Investicijos'!$H$5:$H$24*IF('2. Investicijos'!$G$5:$G$24&lt;=35,30%,40%)),0))*(1-((2028-'2. Investicijos'!$F$5:$F$24)-1)/'2. Investicijos'!$G$5:$G$24),0)*'5. 0% scenarijus'!$C$5)</f>
        <v>#VALUE!</v>
      </c>
      <c r="T232" s="62" t="e">
        <f>'3. Finansinės prielaidos'!E29+S232+G232</f>
        <v>#VALUE!</v>
      </c>
      <c r="U232" s="62" t="e">
        <f t="shared" ref="U232:U239" si="84">N232-R232</f>
        <v>#VALUE!</v>
      </c>
      <c r="V232" s="72" t="e">
        <f t="shared" ref="V232:V239" si="85">IF(OR(T232="",T232&lt;=0),"",U232/T232)</f>
        <v>#VALUE!</v>
      </c>
      <c r="W232" s="72" t="e">
        <f t="shared" ref="W232:W239" si="86">IF(T232&lt;=0,"",IF(P232+J232=0,999999,T232/(P232+J232)))</f>
        <v>#VALUE!</v>
      </c>
      <c r="X232" s="57" t="e">
        <f t="shared" ref="X232:X239" si="87">IF(OR(V232="",W232=""),"",IF(AND(V232&lt;=5.5,W232&gt;=1.2),"ATITINKA","NEATITINKA"))</f>
        <v>#VALUE!</v>
      </c>
      <c r="Y232" s="57" t="e">
        <f t="shared" ref="Y232:Y239" si="88">IF(X232&lt;&gt;"NEATITINKA","",IF(T232&lt;=0,"EBITDA ≤ 0",IF(AND(V232&gt;5.5,W232&lt;1.2),"Abu",IF(V232&gt;5.5,"Net Debt / EBITDA","DSCR"))))</f>
        <v>#VALUE!</v>
      </c>
      <c r="Z232" s="57"/>
      <c r="AA232" s="57"/>
      <c r="AB232" s="57"/>
      <c r="AC232" s="57"/>
      <c r="AD232" s="57"/>
      <c r="AE232" s="57"/>
      <c r="AF232" s="57"/>
      <c r="AG232" s="57"/>
      <c r="AH232" s="57"/>
      <c r="AI232" s="57"/>
      <c r="AJ232" s="57"/>
      <c r="AK232" s="57"/>
      <c r="AL232" s="57"/>
      <c r="AM232" s="57"/>
      <c r="AN232" s="57"/>
      <c r="AO232" s="57"/>
      <c r="AP232" s="57"/>
      <c r="AQ232" s="57"/>
      <c r="AR232" s="57"/>
      <c r="AS232" s="57"/>
    </row>
    <row r="233" spans="1:45">
      <c r="A233" s="57">
        <v>20</v>
      </c>
      <c r="B233" s="57">
        <v>2029</v>
      </c>
      <c r="C233" s="62">
        <f>SUM('4. Metinis CAPEX'!I$9:I$28)</f>
        <v>0</v>
      </c>
      <c r="D233" s="62" cm="1">
        <f t="array" ref="D233">SUMPRODUCT('4. Metinis CAPEX'!I$9:I$28,IFERROR('2. Investicijos'!$N$5:$N$24/'2. Investicijos'!$H$5:$H$24,0))</f>
        <v>0</v>
      </c>
      <c r="E233" s="62" cm="1">
        <f t="array" ref="E233">SUMPRODUCT('4. Metinis CAPEX'!I$9:I$28,IFERROR(('2. Investicijos'!$I$5:$I$24+'2. Investicijos'!$J$5:$J$24+'2. Investicijos'!$K$5:$K$24+'2. Investicijos'!$L$5:$L$24)/'2. Investicijos'!$H$5:$H$24,0))</f>
        <v>0</v>
      </c>
      <c r="F233" s="62" cm="1">
        <f t="array" ref="F233">SUM('2. Investicijos'!$H$5:$H$24*IF('2. Investicijos'!$G$5:$G$24&lt;=35,30%,40%))</f>
        <v>0</v>
      </c>
      <c r="G233" s="62" cm="1">
        <f t="array" ref="G233">IF(AND(2029&gt;=2026,2029&lt;2026+'6. Aprašo scenarijus'!$C$4),SUM('2. Investicijos'!$H$5:$H$24*IF('2. Investicijos'!$G$5:$G$24&lt;=35,30%,40%))/'6. Aprašo scenarijus'!$C$4,0)</f>
        <v>0</v>
      </c>
      <c r="H233" s="62">
        <f t="shared" si="82"/>
        <v>0</v>
      </c>
      <c r="I233" s="62">
        <f>SUM(I$5:I$24)</f>
        <v>0</v>
      </c>
      <c r="J233" s="62" t="e" cm="1">
        <f t="array" ref="J233">K233+L233+MAX(0,-R232)*IFERROR(SUMPRODUCT(IF('2.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#VALUE!</v>
      </c>
      <c r="K233" s="62">
        <f>SUM(AC$5:AC$24)</f>
        <v>0</v>
      </c>
      <c r="L233" s="62">
        <f>SUM(S$5:S$24)</f>
        <v>0</v>
      </c>
      <c r="M233" s="62">
        <f>SUM(AM$5:AM$24)</f>
        <v>0</v>
      </c>
      <c r="N233" s="62">
        <f>'3. Finansinės prielaidos'!F30+M233</f>
        <v>0</v>
      </c>
      <c r="O233" s="62">
        <f>'3. Finansinės prielaidos'!F31</f>
        <v>0</v>
      </c>
      <c r="P233" s="62">
        <f>'3. Finansinės prielaidos'!F32</f>
        <v>0</v>
      </c>
      <c r="Q233" s="62" t="e">
        <f t="shared" si="83"/>
        <v>#VALUE!</v>
      </c>
      <c r="R233" s="62" t="e">
        <f>R232+('3. Finansinės prielaidos'!F31-'3. Finansinės prielaidos'!E31)+Q233</f>
        <v>#VALUE!</v>
      </c>
      <c r="S233" s="62" t="e" cm="1">
        <f t="array" ref="S233">SUMPRODUCT(--(2029&gt;'2. Investicijos'!$F$5:$F$24),--(2029&lt;='2. Investicijos'!$F$5:$F$24+'2. Investicijos'!$G$5:$G$24),IFERROR(('2. Investicijos'!$M$5:$M$24+IF('2. Investicijos'!$N$5:$N$24&gt;('2. Investicijos'!$H$5:$H$24*IF('2. Investicijos'!$G$5:$G$24&lt;=35,30%,40%)),'2. Investicijos'!$N$5:$N$24-('2. Investicijos'!$H$5:$H$24*IF('2. Investicijos'!$G$5:$G$24&lt;=35,30%,40%)),0)+('2. Investicijos'!$H$5:$H$24*IF('2. Investicijos'!$G$5:$G$24&lt;=35,30%,40%)))/'2. Investicijos'!$G$5:$G$24,0))+SUMPRODUCT(--(2029&gt;'2. Investicijos'!$F$5:$F$24),--(2029&lt;='2. Investicijos'!$F$5:$F$24+'2. Investicijos'!$G$5:$G$24),IFERROR(('2. Investicijos'!$M$5:$M$24+IF('2. Investicijos'!$N$5:$N$24&gt;('2. Investicijos'!$H$5:$H$24*IF('2. Investicijos'!$G$5:$G$24&lt;=35,30%,40%)),'2. Investicijos'!$N$5:$N$24-('2. Investicijos'!$H$5:$H$24*IF('2. Investicijos'!$G$5:$G$24&lt;=35,30%,40%)),0))*(1-((2029-'2. Investicijos'!$F$5:$F$24)-1)/'2. Investicijos'!$G$5:$G$24),0)*'5. 0% scenarijus'!$C$5)</f>
        <v>#VALUE!</v>
      </c>
      <c r="T233" s="62" t="e">
        <f>'3. Finansinės prielaidos'!F29+S233+G233</f>
        <v>#VALUE!</v>
      </c>
      <c r="U233" s="62" t="e">
        <f t="shared" si="84"/>
        <v>#VALUE!</v>
      </c>
      <c r="V233" s="72" t="e">
        <f t="shared" si="85"/>
        <v>#VALUE!</v>
      </c>
      <c r="W233" s="72" t="e">
        <f t="shared" si="86"/>
        <v>#VALUE!</v>
      </c>
      <c r="X233" s="57" t="e">
        <f t="shared" si="87"/>
        <v>#VALUE!</v>
      </c>
      <c r="Y233" s="57" t="e">
        <f t="shared" si="88"/>
        <v>#VALUE!</v>
      </c>
      <c r="Z233" s="57"/>
      <c r="AA233" s="57"/>
      <c r="AB233" s="57"/>
      <c r="AC233" s="57"/>
      <c r="AD233" s="57"/>
      <c r="AE233" s="57"/>
      <c r="AF233" s="57"/>
      <c r="AG233" s="57"/>
      <c r="AH233" s="57"/>
      <c r="AI233" s="57"/>
      <c r="AJ233" s="57"/>
      <c r="AK233" s="57"/>
      <c r="AL233" s="57"/>
      <c r="AM233" s="57"/>
      <c r="AN233" s="57"/>
      <c r="AO233" s="57"/>
      <c r="AP233" s="57"/>
      <c r="AQ233" s="57"/>
      <c r="AR233" s="57"/>
      <c r="AS233" s="57"/>
    </row>
    <row r="234" spans="1:45">
      <c r="A234" s="57">
        <v>20</v>
      </c>
      <c r="B234" s="57">
        <v>2030</v>
      </c>
      <c r="C234" s="62">
        <f>SUM('4. Metinis CAPEX'!J$9:J$28)</f>
        <v>0</v>
      </c>
      <c r="D234" s="62" cm="1">
        <f t="array" ref="D234">SUMPRODUCT('4. Metinis CAPEX'!J$9:J$28,IFERROR('2. Investicijos'!$N$5:$N$24/'2. Investicijos'!$H$5:$H$24,0))</f>
        <v>0</v>
      </c>
      <c r="E234" s="62" cm="1">
        <f t="array" ref="E234">SUMPRODUCT('4. Metinis CAPEX'!J$9:J$28,IFERROR(('2. Investicijos'!$I$5:$I$24+'2. Investicijos'!$J$5:$J$24+'2. Investicijos'!$K$5:$K$24+'2. Investicijos'!$L$5:$L$24)/'2. Investicijos'!$H$5:$H$24,0))</f>
        <v>0</v>
      </c>
      <c r="F234" s="62" cm="1">
        <f t="array" ref="F234">SUM('2. Investicijos'!$H$5:$H$24*IF('2. Investicijos'!$G$5:$G$24&lt;=35,30%,40%))</f>
        <v>0</v>
      </c>
      <c r="G234" s="62" cm="1">
        <f t="array" ref="G234">IF(AND(2030&gt;=2026,2030&lt;2026+'6. Aprašo scenarijus'!$C$4),SUM('2. Investicijos'!$H$5:$H$24*IF('2. Investicijos'!$G$5:$G$24&lt;=35,30%,40%))/'6. Aprašo scenarijus'!$C$4,0)</f>
        <v>0</v>
      </c>
      <c r="H234" s="62">
        <f t="shared" si="82"/>
        <v>0</v>
      </c>
      <c r="I234" s="62">
        <f>SUM(J$5:J$24)</f>
        <v>0</v>
      </c>
      <c r="J234" s="62" t="e" cm="1">
        <f t="array" ref="J234">K234+L234+MAX(0,-R233)*IFERROR(SUMPRODUCT(IF('2.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#VALUE!</v>
      </c>
      <c r="K234" s="62">
        <f>SUM(AD$5:AD$24)</f>
        <v>0</v>
      </c>
      <c r="L234" s="62">
        <f>SUM(T$5:T$24)</f>
        <v>0</v>
      </c>
      <c r="M234" s="62">
        <f>SUM(AN$5:AN$24)</f>
        <v>0</v>
      </c>
      <c r="N234" s="62">
        <f>'3. Finansinės prielaidos'!G30+M234</f>
        <v>0</v>
      </c>
      <c r="O234" s="62">
        <f>'3. Finansinės prielaidos'!G31</f>
        <v>0</v>
      </c>
      <c r="P234" s="62">
        <f>'3. Finansinės prielaidos'!G32</f>
        <v>0</v>
      </c>
      <c r="Q234" s="62" t="e">
        <f t="shared" si="83"/>
        <v>#VALUE!</v>
      </c>
      <c r="R234" s="62" t="e">
        <f>R233+('3. Finansinės prielaidos'!G31-'3. Finansinės prielaidos'!F31)+Q234</f>
        <v>#VALUE!</v>
      </c>
      <c r="S234" s="62" t="e" cm="1">
        <f t="array" ref="S234">SUMPRODUCT(--(2030&gt;'2. Investicijos'!$F$5:$F$24),--(2030&lt;='2. Investicijos'!$F$5:$F$24+'2. Investicijos'!$G$5:$G$24),IFERROR(('2. Investicijos'!$M$5:$M$24+IF('2. Investicijos'!$N$5:$N$24&gt;('2. Investicijos'!$H$5:$H$24*IF('2. Investicijos'!$G$5:$G$24&lt;=35,30%,40%)),'2. Investicijos'!$N$5:$N$24-('2. Investicijos'!$H$5:$H$24*IF('2. Investicijos'!$G$5:$G$24&lt;=35,30%,40%)),0)+('2. Investicijos'!$H$5:$H$24*IF('2. Investicijos'!$G$5:$G$24&lt;=35,30%,40%)))/'2. Investicijos'!$G$5:$G$24,0))+SUMPRODUCT(--(2030&gt;'2. Investicijos'!$F$5:$F$24),--(2030&lt;='2. Investicijos'!$F$5:$F$24+'2. Investicijos'!$G$5:$G$24),IFERROR(('2. Investicijos'!$M$5:$M$24+IF('2. Investicijos'!$N$5:$N$24&gt;('2. Investicijos'!$H$5:$H$24*IF('2. Investicijos'!$G$5:$G$24&lt;=35,30%,40%)),'2. Investicijos'!$N$5:$N$24-('2. Investicijos'!$H$5:$H$24*IF('2. Investicijos'!$G$5:$G$24&lt;=35,30%,40%)),0))*(1-((2030-'2. Investicijos'!$F$5:$F$24)-1)/'2. Investicijos'!$G$5:$G$24),0)*'5. 0% scenarijus'!$C$5)</f>
        <v>#VALUE!</v>
      </c>
      <c r="T234" s="62" t="e">
        <f>'3. Finansinės prielaidos'!G29+S234+G234</f>
        <v>#VALUE!</v>
      </c>
      <c r="U234" s="62" t="e">
        <f t="shared" si="84"/>
        <v>#VALUE!</v>
      </c>
      <c r="V234" s="72" t="e">
        <f t="shared" si="85"/>
        <v>#VALUE!</v>
      </c>
      <c r="W234" s="72" t="e">
        <f t="shared" si="86"/>
        <v>#VALUE!</v>
      </c>
      <c r="X234" s="57" t="e">
        <f t="shared" si="87"/>
        <v>#VALUE!</v>
      </c>
      <c r="Y234" s="57" t="e">
        <f t="shared" si="88"/>
        <v>#VALUE!</v>
      </c>
      <c r="Z234" s="57"/>
      <c r="AA234" s="57"/>
      <c r="AB234" s="57"/>
      <c r="AC234" s="57"/>
      <c r="AD234" s="57"/>
      <c r="AE234" s="57"/>
      <c r="AF234" s="57"/>
      <c r="AG234" s="57"/>
      <c r="AH234" s="57"/>
      <c r="AI234" s="57"/>
      <c r="AJ234" s="57"/>
      <c r="AK234" s="57"/>
      <c r="AL234" s="57"/>
      <c r="AM234" s="57"/>
      <c r="AN234" s="57"/>
      <c r="AO234" s="57"/>
      <c r="AP234" s="57"/>
      <c r="AQ234" s="57"/>
      <c r="AR234" s="57"/>
      <c r="AS234" s="57"/>
    </row>
    <row r="235" spans="1:45">
      <c r="A235" s="57">
        <v>20</v>
      </c>
      <c r="B235" s="57">
        <v>2031</v>
      </c>
      <c r="C235" s="62">
        <f>SUM('4. Metinis CAPEX'!K$9:K$28)</f>
        <v>0</v>
      </c>
      <c r="D235" s="62" cm="1">
        <f t="array" ref="D235">SUMPRODUCT('4. Metinis CAPEX'!K$9:K$28,IFERROR('2. Investicijos'!$N$5:$N$24/'2. Investicijos'!$H$5:$H$24,0))</f>
        <v>0</v>
      </c>
      <c r="E235" s="62" cm="1">
        <f t="array" ref="E235">SUMPRODUCT('4. Metinis CAPEX'!K$9:K$28,IFERROR(('2. Investicijos'!$I$5:$I$24+'2. Investicijos'!$J$5:$J$24+'2. Investicijos'!$K$5:$K$24+'2. Investicijos'!$L$5:$L$24)/'2. Investicijos'!$H$5:$H$24,0))</f>
        <v>0</v>
      </c>
      <c r="F235" s="62" cm="1">
        <f t="array" ref="F235">SUM('2. Investicijos'!$H$5:$H$24*IF('2. Investicijos'!$G$5:$G$24&lt;=35,30%,40%))</f>
        <v>0</v>
      </c>
      <c r="G235" s="62" cm="1">
        <f t="array" ref="G235">IF(AND(2031&gt;=2026,2031&lt;2026+'6. Aprašo scenarijus'!$C$4),SUM('2. Investicijos'!$H$5:$H$24*IF('2. Investicijos'!$G$5:$G$24&lt;=35,30%,40%))/'6. Aprašo scenarijus'!$C$4,0)</f>
        <v>0</v>
      </c>
      <c r="H235" s="62">
        <f t="shared" si="82"/>
        <v>0</v>
      </c>
      <c r="I235" s="62">
        <f>SUM(K$5:K$24)</f>
        <v>0</v>
      </c>
      <c r="J235" s="62" t="e" cm="1">
        <f t="array" ref="J235">K235+L235+MAX(0,-R234)*IFERROR(SUMPRODUCT(IF('2.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#VALUE!</v>
      </c>
      <c r="K235" s="62">
        <f>SUM(AE$5:AE$24)</f>
        <v>0</v>
      </c>
      <c r="L235" s="62">
        <f>SUM(U$5:U$24)</f>
        <v>0</v>
      </c>
      <c r="M235" s="62">
        <f>SUM(AO$5:AO$24)</f>
        <v>0</v>
      </c>
      <c r="N235" s="62">
        <f>'3. Finansinės prielaidos'!H30+M235</f>
        <v>0</v>
      </c>
      <c r="O235" s="62">
        <f>'3. Finansinės prielaidos'!H31</f>
        <v>0</v>
      </c>
      <c r="P235" s="62">
        <f>'3. Finansinės prielaidos'!H32</f>
        <v>0</v>
      </c>
      <c r="Q235" s="62" t="e">
        <f t="shared" si="83"/>
        <v>#VALUE!</v>
      </c>
      <c r="R235" s="62" t="e">
        <f>R234+('3. Finansinės prielaidos'!H31-'3. Finansinės prielaidos'!G31)+Q235</f>
        <v>#VALUE!</v>
      </c>
      <c r="S235" s="62" t="e" cm="1">
        <f t="array" ref="S235">SUMPRODUCT(--(2031&gt;'2. Investicijos'!$F$5:$F$24),--(2031&lt;='2. Investicijos'!$F$5:$F$24+'2. Investicijos'!$G$5:$G$24),IFERROR(('2. Investicijos'!$M$5:$M$24+IF('2. Investicijos'!$N$5:$N$24&gt;('2. Investicijos'!$H$5:$H$24*IF('2. Investicijos'!$G$5:$G$24&lt;=35,30%,40%)),'2. Investicijos'!$N$5:$N$24-('2. Investicijos'!$H$5:$H$24*IF('2. Investicijos'!$G$5:$G$24&lt;=35,30%,40%)),0)+('2. Investicijos'!$H$5:$H$24*IF('2. Investicijos'!$G$5:$G$24&lt;=35,30%,40%)))/'2. Investicijos'!$G$5:$G$24,0))+SUMPRODUCT(--(2031&gt;'2. Investicijos'!$F$5:$F$24),--(2031&lt;='2. Investicijos'!$F$5:$F$24+'2. Investicijos'!$G$5:$G$24),IFERROR(('2. Investicijos'!$M$5:$M$24+IF('2. Investicijos'!$N$5:$N$24&gt;('2. Investicijos'!$H$5:$H$24*IF('2. Investicijos'!$G$5:$G$24&lt;=35,30%,40%)),'2. Investicijos'!$N$5:$N$24-('2. Investicijos'!$H$5:$H$24*IF('2. Investicijos'!$G$5:$G$24&lt;=35,30%,40%)),0))*(1-((2031-'2. Investicijos'!$F$5:$F$24)-1)/'2. Investicijos'!$G$5:$G$24),0)*'5. 0% scenarijus'!$C$5)</f>
        <v>#VALUE!</v>
      </c>
      <c r="T235" s="62" t="e">
        <f>'3. Finansinės prielaidos'!H29+S235+G235</f>
        <v>#VALUE!</v>
      </c>
      <c r="U235" s="62" t="e">
        <f t="shared" si="84"/>
        <v>#VALUE!</v>
      </c>
      <c r="V235" s="72" t="e">
        <f t="shared" si="85"/>
        <v>#VALUE!</v>
      </c>
      <c r="W235" s="72" t="e">
        <f t="shared" si="86"/>
        <v>#VALUE!</v>
      </c>
      <c r="X235" s="57" t="e">
        <f t="shared" si="87"/>
        <v>#VALUE!</v>
      </c>
      <c r="Y235" s="57" t="e">
        <f t="shared" si="88"/>
        <v>#VALUE!</v>
      </c>
      <c r="Z235" s="57"/>
      <c r="AA235" s="57"/>
      <c r="AB235" s="57"/>
      <c r="AC235" s="57"/>
      <c r="AD235" s="57"/>
      <c r="AE235" s="57"/>
      <c r="AF235" s="57"/>
      <c r="AG235" s="57"/>
      <c r="AH235" s="57"/>
      <c r="AI235" s="57"/>
      <c r="AJ235" s="57"/>
      <c r="AK235" s="57"/>
      <c r="AL235" s="57"/>
      <c r="AM235" s="57"/>
      <c r="AN235" s="57"/>
      <c r="AO235" s="57"/>
      <c r="AP235" s="57"/>
      <c r="AQ235" s="57"/>
      <c r="AR235" s="57"/>
      <c r="AS235" s="57"/>
    </row>
    <row r="236" spans="1:45">
      <c r="A236" s="57">
        <v>20</v>
      </c>
      <c r="B236" s="57">
        <v>2032</v>
      </c>
      <c r="C236" s="62">
        <f>SUM('4. Metinis CAPEX'!L$9:L$28)</f>
        <v>0</v>
      </c>
      <c r="D236" s="62" cm="1">
        <f t="array" ref="D236">SUMPRODUCT('4. Metinis CAPEX'!L$9:L$28,IFERROR('2. Investicijos'!$N$5:$N$24/'2. Investicijos'!$H$5:$H$24,0))</f>
        <v>0</v>
      </c>
      <c r="E236" s="62" cm="1">
        <f t="array" ref="E236">SUMPRODUCT('4. Metinis CAPEX'!L$9:L$28,IFERROR(('2. Investicijos'!$I$5:$I$24+'2. Investicijos'!$J$5:$J$24+'2. Investicijos'!$K$5:$K$24+'2. Investicijos'!$L$5:$L$24)/'2. Investicijos'!$H$5:$H$24,0))</f>
        <v>0</v>
      </c>
      <c r="F236" s="62" cm="1">
        <f t="array" ref="F236">SUM('2. Investicijos'!$H$5:$H$24*IF('2. Investicijos'!$G$5:$G$24&lt;=35,30%,40%))</f>
        <v>0</v>
      </c>
      <c r="G236" s="62" cm="1">
        <f t="array" ref="G236">IF(AND(2032&gt;=2026,2032&lt;2026+'6. Aprašo scenarijus'!$C$4),SUM('2. Investicijos'!$H$5:$H$24*IF('2. Investicijos'!$G$5:$G$24&lt;=35,30%,40%))/'6. Aprašo scenarijus'!$C$4,0)</f>
        <v>0</v>
      </c>
      <c r="H236" s="62">
        <f t="shared" si="82"/>
        <v>0</v>
      </c>
      <c r="I236" s="62">
        <f>SUM(L$5:L$24)</f>
        <v>0</v>
      </c>
      <c r="J236" s="62" t="e" cm="1">
        <f t="array" ref="J236">K236+L236+MAX(0,-R235)*IFERROR(SUMPRODUCT(IF('2.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#VALUE!</v>
      </c>
      <c r="K236" s="62">
        <f>SUM(AF$5:AF$24)</f>
        <v>0</v>
      </c>
      <c r="L236" s="62">
        <f>SUM(V$5:V$24)</f>
        <v>0</v>
      </c>
      <c r="M236" s="62">
        <f>SUM(AP$5:AP$24)</f>
        <v>0</v>
      </c>
      <c r="N236" s="62">
        <f>'3. Finansinės prielaidos'!I30+M236</f>
        <v>0</v>
      </c>
      <c r="O236" s="62">
        <f>'3. Finansinės prielaidos'!I31</f>
        <v>0</v>
      </c>
      <c r="P236" s="62">
        <f>'3. Finansinės prielaidos'!I32</f>
        <v>0</v>
      </c>
      <c r="Q236" s="62" t="e">
        <f t="shared" si="83"/>
        <v>#VALUE!</v>
      </c>
      <c r="R236" s="62" t="e">
        <f>R235+('3. Finansinės prielaidos'!I31-'3. Finansinės prielaidos'!H31)+Q236</f>
        <v>#VALUE!</v>
      </c>
      <c r="S236" s="62" t="e" cm="1">
        <f t="array" ref="S236">SUMPRODUCT(--(2032&gt;'2. Investicijos'!$F$5:$F$24),--(2032&lt;='2. Investicijos'!$F$5:$F$24+'2. Investicijos'!$G$5:$G$24),IFERROR(('2. Investicijos'!$M$5:$M$24+IF('2. Investicijos'!$N$5:$N$24&gt;('2. Investicijos'!$H$5:$H$24*IF('2. Investicijos'!$G$5:$G$24&lt;=35,30%,40%)),'2. Investicijos'!$N$5:$N$24-('2. Investicijos'!$H$5:$H$24*IF('2. Investicijos'!$G$5:$G$24&lt;=35,30%,40%)),0)+('2. Investicijos'!$H$5:$H$24*IF('2. Investicijos'!$G$5:$G$24&lt;=35,30%,40%)))/'2. Investicijos'!$G$5:$G$24,0))+SUMPRODUCT(--(2032&gt;'2. Investicijos'!$F$5:$F$24),--(2032&lt;='2. Investicijos'!$F$5:$F$24+'2. Investicijos'!$G$5:$G$24),IFERROR(('2. Investicijos'!$M$5:$M$24+IF('2. Investicijos'!$N$5:$N$24&gt;('2. Investicijos'!$H$5:$H$24*IF('2. Investicijos'!$G$5:$G$24&lt;=35,30%,40%)),'2. Investicijos'!$N$5:$N$24-('2. Investicijos'!$H$5:$H$24*IF('2. Investicijos'!$G$5:$G$24&lt;=35,30%,40%)),0))*(1-((2032-'2. Investicijos'!$F$5:$F$24)-1)/'2. Investicijos'!$G$5:$G$24),0)*'5. 0% scenarijus'!$C$5)</f>
        <v>#VALUE!</v>
      </c>
      <c r="T236" s="62" t="e">
        <f>'3. Finansinės prielaidos'!I29+S236+G236</f>
        <v>#VALUE!</v>
      </c>
      <c r="U236" s="62" t="e">
        <f t="shared" si="84"/>
        <v>#VALUE!</v>
      </c>
      <c r="V236" s="72" t="e">
        <f t="shared" si="85"/>
        <v>#VALUE!</v>
      </c>
      <c r="W236" s="72" t="e">
        <f t="shared" si="86"/>
        <v>#VALUE!</v>
      </c>
      <c r="X236" s="57" t="e">
        <f t="shared" si="87"/>
        <v>#VALUE!</v>
      </c>
      <c r="Y236" s="57" t="e">
        <f t="shared" si="88"/>
        <v>#VALUE!</v>
      </c>
      <c r="Z236" s="57"/>
      <c r="AA236" s="57"/>
      <c r="AB236" s="57"/>
      <c r="AC236" s="57"/>
      <c r="AD236" s="57"/>
      <c r="AE236" s="57"/>
      <c r="AF236" s="57"/>
      <c r="AG236" s="57"/>
      <c r="AH236" s="57"/>
      <c r="AI236" s="57"/>
      <c r="AJ236" s="57"/>
      <c r="AK236" s="57"/>
      <c r="AL236" s="57"/>
      <c r="AM236" s="57"/>
      <c r="AN236" s="57"/>
      <c r="AO236" s="57"/>
      <c r="AP236" s="57"/>
      <c r="AQ236" s="57"/>
      <c r="AR236" s="57"/>
      <c r="AS236" s="57"/>
    </row>
    <row r="237" spans="1:45">
      <c r="A237" s="57">
        <v>20</v>
      </c>
      <c r="B237" s="57">
        <v>2033</v>
      </c>
      <c r="C237" s="62">
        <f>SUM('4. Metinis CAPEX'!M$9:M$28)</f>
        <v>0</v>
      </c>
      <c r="D237" s="62" cm="1">
        <f t="array" ref="D237">SUMPRODUCT('4. Metinis CAPEX'!M$9:M$28,IFERROR('2. Investicijos'!$N$5:$N$24/'2. Investicijos'!$H$5:$H$24,0))</f>
        <v>0</v>
      </c>
      <c r="E237" s="62" cm="1">
        <f t="array" ref="E237">SUMPRODUCT('4. Metinis CAPEX'!M$9:M$28,IFERROR(('2. Investicijos'!$I$5:$I$24+'2. Investicijos'!$J$5:$J$24+'2. Investicijos'!$K$5:$K$24+'2. Investicijos'!$L$5:$L$24)/'2. Investicijos'!$H$5:$H$24,0))</f>
        <v>0</v>
      </c>
      <c r="F237" s="62" cm="1">
        <f t="array" ref="F237">SUM('2. Investicijos'!$H$5:$H$24*IF('2. Investicijos'!$G$5:$G$24&lt;=35,30%,40%))</f>
        <v>0</v>
      </c>
      <c r="G237" s="62" cm="1">
        <f t="array" ref="G237">IF(AND(2033&gt;=2026,2033&lt;2026+'6. Aprašo scenarijus'!$C$4),SUM('2. Investicijos'!$H$5:$H$24*IF('2. Investicijos'!$G$5:$G$24&lt;=35,30%,40%))/'6. Aprašo scenarijus'!$C$4,0)</f>
        <v>0</v>
      </c>
      <c r="H237" s="62">
        <f t="shared" si="82"/>
        <v>0</v>
      </c>
      <c r="I237" s="62">
        <f>SUM(M$5:M$24)</f>
        <v>0</v>
      </c>
      <c r="J237" s="62" t="e" cm="1">
        <f t="array" ref="J237">K237+L237+MAX(0,-R236)*IFERROR(SUMPRODUCT(IF('2.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#VALUE!</v>
      </c>
      <c r="K237" s="62">
        <f>SUM(AG$5:AG$24)</f>
        <v>0</v>
      </c>
      <c r="L237" s="62">
        <f>SUM(W$5:W$24)</f>
        <v>0</v>
      </c>
      <c r="M237" s="62">
        <f>SUM(AQ$5:AQ$24)</f>
        <v>0</v>
      </c>
      <c r="N237" s="62">
        <f>'3. Finansinės prielaidos'!J30+M237</f>
        <v>0</v>
      </c>
      <c r="O237" s="62">
        <f>'3. Finansinės prielaidos'!J31</f>
        <v>0</v>
      </c>
      <c r="P237" s="62">
        <f>'3. Finansinės prielaidos'!J32</f>
        <v>0</v>
      </c>
      <c r="Q237" s="62" t="e">
        <f t="shared" si="83"/>
        <v>#VALUE!</v>
      </c>
      <c r="R237" s="62" t="e">
        <f>R236+('3. Finansinės prielaidos'!J31-'3. Finansinės prielaidos'!I31)+Q237</f>
        <v>#VALUE!</v>
      </c>
      <c r="S237" s="62" t="e" cm="1">
        <f t="array" ref="S237">SUMPRODUCT(--(2033&gt;'2. Investicijos'!$F$5:$F$24),--(2033&lt;='2. Investicijos'!$F$5:$F$24+'2. Investicijos'!$G$5:$G$24),IFERROR(('2. Investicijos'!$M$5:$M$24+IF('2. Investicijos'!$N$5:$N$24&gt;('2. Investicijos'!$H$5:$H$24*IF('2. Investicijos'!$G$5:$G$24&lt;=35,30%,40%)),'2. Investicijos'!$N$5:$N$24-('2. Investicijos'!$H$5:$H$24*IF('2. Investicijos'!$G$5:$G$24&lt;=35,30%,40%)),0)+('2. Investicijos'!$H$5:$H$24*IF('2. Investicijos'!$G$5:$G$24&lt;=35,30%,40%)))/'2. Investicijos'!$G$5:$G$24,0))+SUMPRODUCT(--(2033&gt;'2. Investicijos'!$F$5:$F$24),--(2033&lt;='2. Investicijos'!$F$5:$F$24+'2. Investicijos'!$G$5:$G$24),IFERROR(('2. Investicijos'!$M$5:$M$24+IF('2. Investicijos'!$N$5:$N$24&gt;('2. Investicijos'!$H$5:$H$24*IF('2. Investicijos'!$G$5:$G$24&lt;=35,30%,40%)),'2. Investicijos'!$N$5:$N$24-('2. Investicijos'!$H$5:$H$24*IF('2. Investicijos'!$G$5:$G$24&lt;=35,30%,40%)),0))*(1-((2033-'2. Investicijos'!$F$5:$F$24)-1)/'2. Investicijos'!$G$5:$G$24),0)*'5. 0% scenarijus'!$C$5)</f>
        <v>#VALUE!</v>
      </c>
      <c r="T237" s="62" t="e">
        <f>'3. Finansinės prielaidos'!J29+S237+G237</f>
        <v>#VALUE!</v>
      </c>
      <c r="U237" s="62" t="e">
        <f t="shared" si="84"/>
        <v>#VALUE!</v>
      </c>
      <c r="V237" s="72" t="e">
        <f t="shared" si="85"/>
        <v>#VALUE!</v>
      </c>
      <c r="W237" s="72" t="e">
        <f t="shared" si="86"/>
        <v>#VALUE!</v>
      </c>
      <c r="X237" s="57" t="e">
        <f t="shared" si="87"/>
        <v>#VALUE!</v>
      </c>
      <c r="Y237" s="57" t="e">
        <f t="shared" si="88"/>
        <v>#VALUE!</v>
      </c>
      <c r="Z237" s="57"/>
      <c r="AA237" s="57"/>
      <c r="AB237" s="57"/>
      <c r="AC237" s="57"/>
      <c r="AD237" s="57"/>
      <c r="AE237" s="57"/>
      <c r="AF237" s="57"/>
      <c r="AG237" s="57"/>
      <c r="AH237" s="57"/>
      <c r="AI237" s="57"/>
      <c r="AJ237" s="57"/>
      <c r="AK237" s="57"/>
      <c r="AL237" s="57"/>
      <c r="AM237" s="57"/>
      <c r="AN237" s="57"/>
      <c r="AO237" s="57"/>
      <c r="AP237" s="57"/>
      <c r="AQ237" s="57"/>
      <c r="AR237" s="57"/>
      <c r="AS237" s="57"/>
    </row>
    <row r="238" spans="1:45">
      <c r="A238" s="57">
        <v>20</v>
      </c>
      <c r="B238" s="57">
        <v>2034</v>
      </c>
      <c r="C238" s="62">
        <f>SUM('4. Metinis CAPEX'!N$9:N$28)</f>
        <v>0</v>
      </c>
      <c r="D238" s="62" cm="1">
        <f t="array" ref="D238">SUMPRODUCT('4. Metinis CAPEX'!N$9:N$28,IFERROR('2. Investicijos'!$N$5:$N$24/'2. Investicijos'!$H$5:$H$24,0))</f>
        <v>0</v>
      </c>
      <c r="E238" s="62" cm="1">
        <f t="array" ref="E238">SUMPRODUCT('4. Metinis CAPEX'!N$9:N$28,IFERROR(('2. Investicijos'!$I$5:$I$24+'2. Investicijos'!$J$5:$J$24+'2. Investicijos'!$K$5:$K$24+'2. Investicijos'!$L$5:$L$24)/'2. Investicijos'!$H$5:$H$24,0))</f>
        <v>0</v>
      </c>
      <c r="F238" s="62" cm="1">
        <f t="array" ref="F238">SUM('2. Investicijos'!$H$5:$H$24*IF('2. Investicijos'!$G$5:$G$24&lt;=35,30%,40%))</f>
        <v>0</v>
      </c>
      <c r="G238" s="62" cm="1">
        <f t="array" ref="G238">IF(AND(2034&gt;=2026,2034&lt;2026+'6. Aprašo scenarijus'!$C$4),SUM('2. Investicijos'!$H$5:$H$24*IF('2. Investicijos'!$G$5:$G$24&lt;=35,30%,40%))/'6. Aprašo scenarijus'!$C$4,0)</f>
        <v>0</v>
      </c>
      <c r="H238" s="62">
        <f t="shared" si="82"/>
        <v>0</v>
      </c>
      <c r="I238" s="62">
        <f>SUM(N$5:N$24)</f>
        <v>0</v>
      </c>
      <c r="J238" s="62" t="e" cm="1">
        <f t="array" ref="J238">K238+L238+MAX(0,-R237)*IFERROR(SUMPRODUCT(IF('2.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#VALUE!</v>
      </c>
      <c r="K238" s="62">
        <f>SUM(AH$5:AH$24)</f>
        <v>0</v>
      </c>
      <c r="L238" s="62">
        <f>SUM(X$5:X$24)</f>
        <v>0</v>
      </c>
      <c r="M238" s="62">
        <f>SUM(AR$5:AR$24)</f>
        <v>0</v>
      </c>
      <c r="N238" s="62">
        <f>'3. Finansinės prielaidos'!K30+M238</f>
        <v>0</v>
      </c>
      <c r="O238" s="62">
        <f>'3. Finansinės prielaidos'!K31</f>
        <v>0</v>
      </c>
      <c r="P238" s="62">
        <f>'3. Finansinės prielaidos'!K32</f>
        <v>0</v>
      </c>
      <c r="Q238" s="62" t="e">
        <f t="shared" si="83"/>
        <v>#VALUE!</v>
      </c>
      <c r="R238" s="62" t="e">
        <f>R237+('3. Finansinės prielaidos'!K31-'3. Finansinės prielaidos'!J31)+Q238</f>
        <v>#VALUE!</v>
      </c>
      <c r="S238" s="62" t="e" cm="1">
        <f t="array" ref="S238">SUMPRODUCT(--(2034&gt;'2. Investicijos'!$F$5:$F$24),--(2034&lt;='2. Investicijos'!$F$5:$F$24+'2. Investicijos'!$G$5:$G$24),IFERROR(('2. Investicijos'!$M$5:$M$24+IF('2. Investicijos'!$N$5:$N$24&gt;('2. Investicijos'!$H$5:$H$24*IF('2. Investicijos'!$G$5:$G$24&lt;=35,30%,40%)),'2. Investicijos'!$N$5:$N$24-('2. Investicijos'!$H$5:$H$24*IF('2. Investicijos'!$G$5:$G$24&lt;=35,30%,40%)),0)+('2. Investicijos'!$H$5:$H$24*IF('2. Investicijos'!$G$5:$G$24&lt;=35,30%,40%)))/'2. Investicijos'!$G$5:$G$24,0))+SUMPRODUCT(--(2034&gt;'2. Investicijos'!$F$5:$F$24),--(2034&lt;='2. Investicijos'!$F$5:$F$24+'2. Investicijos'!$G$5:$G$24),IFERROR(('2. Investicijos'!$M$5:$M$24+IF('2. Investicijos'!$N$5:$N$24&gt;('2. Investicijos'!$H$5:$H$24*IF('2. Investicijos'!$G$5:$G$24&lt;=35,30%,40%)),'2. Investicijos'!$N$5:$N$24-('2. Investicijos'!$H$5:$H$24*IF('2. Investicijos'!$G$5:$G$24&lt;=35,30%,40%)),0))*(1-((2034-'2. Investicijos'!$F$5:$F$24)-1)/'2. Investicijos'!$G$5:$G$24),0)*'5. 0% scenarijus'!$C$5)</f>
        <v>#VALUE!</v>
      </c>
      <c r="T238" s="62" t="e">
        <f>'3. Finansinės prielaidos'!K29+S238+G238</f>
        <v>#VALUE!</v>
      </c>
      <c r="U238" s="62" t="e">
        <f t="shared" si="84"/>
        <v>#VALUE!</v>
      </c>
      <c r="V238" s="72" t="e">
        <f t="shared" si="85"/>
        <v>#VALUE!</v>
      </c>
      <c r="W238" s="72" t="e">
        <f t="shared" si="86"/>
        <v>#VALUE!</v>
      </c>
      <c r="X238" s="57" t="e">
        <f t="shared" si="87"/>
        <v>#VALUE!</v>
      </c>
      <c r="Y238" s="57" t="e">
        <f t="shared" si="88"/>
        <v>#VALUE!</v>
      </c>
      <c r="Z238" s="57"/>
      <c r="AA238" s="57"/>
      <c r="AB238" s="57"/>
      <c r="AC238" s="57"/>
      <c r="AD238" s="57"/>
      <c r="AE238" s="57"/>
      <c r="AF238" s="57"/>
      <c r="AG238" s="57"/>
      <c r="AH238" s="57"/>
      <c r="AI238" s="57"/>
      <c r="AJ238" s="57"/>
      <c r="AK238" s="57"/>
      <c r="AL238" s="57"/>
      <c r="AM238" s="57"/>
      <c r="AN238" s="57"/>
      <c r="AO238" s="57"/>
      <c r="AP238" s="57"/>
      <c r="AQ238" s="57"/>
      <c r="AR238" s="57"/>
      <c r="AS238" s="57"/>
    </row>
    <row r="239" spans="1:45">
      <c r="A239" s="57">
        <v>20</v>
      </c>
      <c r="B239" s="57">
        <v>2035</v>
      </c>
      <c r="C239" s="62">
        <f>SUM('4. Metinis CAPEX'!O$9:O$28)</f>
        <v>0</v>
      </c>
      <c r="D239" s="62" cm="1">
        <f t="array" ref="D239">SUMPRODUCT('4. Metinis CAPEX'!O$9:O$28,IFERROR('2. Investicijos'!$N$5:$N$24/'2. Investicijos'!$H$5:$H$24,0))</f>
        <v>0</v>
      </c>
      <c r="E239" s="62" cm="1">
        <f t="array" ref="E239">SUMPRODUCT('4. Metinis CAPEX'!O$9:O$28,IFERROR(('2. Investicijos'!$I$5:$I$24+'2. Investicijos'!$J$5:$J$24+'2. Investicijos'!$K$5:$K$24+'2. Investicijos'!$L$5:$L$24)/'2. Investicijos'!$H$5:$H$24,0))</f>
        <v>0</v>
      </c>
      <c r="F239" s="62" cm="1">
        <f t="array" ref="F239">SUM('2. Investicijos'!$H$5:$H$24*IF('2. Investicijos'!$G$5:$G$24&lt;=35,30%,40%))</f>
        <v>0</v>
      </c>
      <c r="G239" s="62" cm="1">
        <f t="array" ref="G239">IF(AND(2035&gt;=2026,2035&lt;2026+'6. Aprašo scenarijus'!$C$4),SUM('2. Investicijos'!$H$5:$H$24*IF('2. Investicijos'!$G$5:$G$24&lt;=35,30%,40%))/'6. Aprašo scenarijus'!$C$4,0)</f>
        <v>0</v>
      </c>
      <c r="H239" s="62">
        <f t="shared" si="82"/>
        <v>0</v>
      </c>
      <c r="I239" s="62">
        <f>SUM(O$5:O$24)</f>
        <v>0</v>
      </c>
      <c r="J239" s="62" t="e" cm="1">
        <f t="array" ref="J239">K239+L239+MAX(0,-R238)*IFERROR(SUMPRODUCT(IF('2. Investicijos'!$N$5:$N$24&gt;('2. Investicijos'!$H$5:$H$24*IF('2. Investicijos'!$G$5:$G$24&lt;=35,30%,40%)),'2. Investicijos'!$N$5:$N$24-('2. Investicijos'!$H$5:$H$24*IF('2. Investicijos'!$G$5:$G$24&lt;=35,30%,40%)),0),'2. Investicijos'!$O$5:$O$24/100)/SUM(IF('2. Investicijos'!$N$5:$N$24&gt;('2. Investicijos'!$H$5:$H$24*IF('2. Investicijos'!$G$5:$G$24&lt;=35,30%,40%)),'2. Investicijos'!$N$5:$N$24-('2. Investicijos'!$H$5:$H$24*IF('2. Investicijos'!$G$5:$G$24&lt;=35,30%,40%)),0)),0)</f>
        <v>#VALUE!</v>
      </c>
      <c r="K239" s="62">
        <f>SUM(AI$5:AI$24)</f>
        <v>0</v>
      </c>
      <c r="L239" s="62">
        <f>SUM(Y$5:Y$24)</f>
        <v>0</v>
      </c>
      <c r="M239" s="62">
        <f>SUM(AS$5:AS$24)</f>
        <v>0</v>
      </c>
      <c r="N239" s="62">
        <f>'3. Finansinės prielaidos'!L30+M239</f>
        <v>0</v>
      </c>
      <c r="O239" s="62">
        <f>'3. Finansinės prielaidos'!L31</f>
        <v>0</v>
      </c>
      <c r="P239" s="62">
        <f>'3. Finansinės prielaidos'!L32</f>
        <v>0</v>
      </c>
      <c r="Q239" s="62" t="e">
        <f t="shared" si="83"/>
        <v>#VALUE!</v>
      </c>
      <c r="R239" s="62" t="e">
        <f>R238+('3. Finansinės prielaidos'!L31-'3. Finansinės prielaidos'!K31)+Q239</f>
        <v>#VALUE!</v>
      </c>
      <c r="S239" s="62" t="e" cm="1">
        <f t="array" ref="S239">SUMPRODUCT(--(2035&gt;'2. Investicijos'!$F$5:$F$24),--(2035&lt;='2. Investicijos'!$F$5:$F$24+'2. Investicijos'!$G$5:$G$24),IFERROR(('2. Investicijos'!$M$5:$M$24+IF('2. Investicijos'!$N$5:$N$24&gt;('2. Investicijos'!$H$5:$H$24*IF('2. Investicijos'!$G$5:$G$24&lt;=35,30%,40%)),'2. Investicijos'!$N$5:$N$24-('2. Investicijos'!$H$5:$H$24*IF('2. Investicijos'!$G$5:$G$24&lt;=35,30%,40%)),0)+('2. Investicijos'!$H$5:$H$24*IF('2. Investicijos'!$G$5:$G$24&lt;=35,30%,40%)))/'2. Investicijos'!$G$5:$G$24,0))+SUMPRODUCT(--(2035&gt;'2. Investicijos'!$F$5:$F$24),--(2035&lt;='2. Investicijos'!$F$5:$F$24+'2. Investicijos'!$G$5:$G$24),IFERROR(('2. Investicijos'!$M$5:$M$24+IF('2. Investicijos'!$N$5:$N$24&gt;('2. Investicijos'!$H$5:$H$24*IF('2. Investicijos'!$G$5:$G$24&lt;=35,30%,40%)),'2. Investicijos'!$N$5:$N$24-('2. Investicijos'!$H$5:$H$24*IF('2. Investicijos'!$G$5:$G$24&lt;=35,30%,40%)),0))*(1-((2035-'2. Investicijos'!$F$5:$F$24)-1)/'2. Investicijos'!$G$5:$G$24),0)*'5. 0% scenarijus'!$C$5)</f>
        <v>#VALUE!</v>
      </c>
      <c r="T239" s="62" t="e">
        <f>'3. Finansinės prielaidos'!L29+S239+G239</f>
        <v>#VALUE!</v>
      </c>
      <c r="U239" s="62" t="e">
        <f t="shared" si="84"/>
        <v>#VALUE!</v>
      </c>
      <c r="V239" s="72" t="e">
        <f t="shared" si="85"/>
        <v>#VALUE!</v>
      </c>
      <c r="W239" s="72" t="e">
        <f t="shared" si="86"/>
        <v>#VALUE!</v>
      </c>
      <c r="X239" s="57" t="e">
        <f t="shared" si="87"/>
        <v>#VALUE!</v>
      </c>
      <c r="Y239" s="57" t="e">
        <f t="shared" si="88"/>
        <v>#VALUE!</v>
      </c>
      <c r="Z239" s="57"/>
      <c r="AA239" s="57"/>
      <c r="AB239" s="57"/>
      <c r="AC239" s="57"/>
      <c r="AD239" s="57"/>
      <c r="AE239" s="57"/>
      <c r="AF239" s="57"/>
      <c r="AG239" s="57"/>
      <c r="AH239" s="57"/>
      <c r="AI239" s="57"/>
      <c r="AJ239" s="57"/>
      <c r="AK239" s="57"/>
      <c r="AL239" s="57"/>
      <c r="AM239" s="57"/>
      <c r="AN239" s="57"/>
      <c r="AO239" s="57"/>
      <c r="AP239" s="57"/>
      <c r="AQ239" s="57"/>
      <c r="AR239" s="57"/>
      <c r="AS239" s="57"/>
    </row>
  </sheetData>
  <sheetProtection algorithmName="SHA-512" hashValue="+NoK5wNIt0gCZkt/5vHhKmO0uBuUeZjuH4aAaJM2HbUdQEQ5tOSlpUBtMBLkyPJSRNAFRi23H8bVKLaBU1NrGA==" saltValue="R4wdhHE8/JhBLhl0PuUzYw==" spinCount="100000" sheet="1" objects="1" scenarios="1"/>
  <mergeCells count="8">
    <mergeCell ref="A25:B25"/>
    <mergeCell ref="A28:Y28"/>
    <mergeCell ref="A1:AS1"/>
    <mergeCell ref="A2:AS2"/>
    <mergeCell ref="F3:O3"/>
    <mergeCell ref="P3:Y3"/>
    <mergeCell ref="Z3:AI3"/>
    <mergeCell ref="AJ3:AS3"/>
  </mergeCells>
  <conditionalFormatting sqref="X30:X239">
    <cfRule type="expression" dxfId="19" priority="1">
      <formula>X30="ATITINKA"</formula>
    </cfRule>
    <cfRule type="expression" dxfId="18" priority="2">
      <formula>X30="NEATITINKA"</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9526F-0C74-471E-A36E-F99004B5C712}">
  <dimension ref="A1:T93"/>
  <sheetViews>
    <sheetView workbookViewId="0">
      <selection activeCell="C34" sqref="C34"/>
    </sheetView>
  </sheetViews>
  <sheetFormatPr defaultRowHeight="14"/>
  <cols>
    <col min="1" max="1" width="8.33203125" customWidth="1"/>
    <col min="2" max="2" width="50" customWidth="1"/>
    <col min="3" max="12" width="12.6640625" customWidth="1"/>
    <col min="13" max="20" width="14" customWidth="1"/>
    <col min="23" max="47" width="12" customWidth="1"/>
  </cols>
  <sheetData>
    <row r="1" spans="1:20" ht="19.5">
      <c r="A1" s="125" t="s">
        <v>203</v>
      </c>
      <c r="B1" s="125"/>
      <c r="C1" s="125"/>
      <c r="D1" s="125"/>
      <c r="E1" s="125"/>
      <c r="F1" s="125"/>
      <c r="G1" s="125"/>
      <c r="H1" s="125"/>
      <c r="I1" s="125"/>
      <c r="J1" s="125"/>
      <c r="K1" s="125"/>
      <c r="L1" s="125"/>
      <c r="M1" s="125"/>
      <c r="N1" s="125"/>
      <c r="O1" s="125"/>
      <c r="P1" s="125"/>
      <c r="Q1" s="125"/>
      <c r="R1" s="125"/>
      <c r="S1" s="125"/>
      <c r="T1" s="125"/>
    </row>
    <row r="2" spans="1:20">
      <c r="A2" s="139" t="str">
        <f>"Tikslas: parodyti investicijų portfelio poveikį įmonės finansinei būklei, kai visoms investicijoms taikomas vartotojo pasirinktas papildomos dedamosios intensyvumas, ir nustatyti pirmą investiciją, po kurios bent vienais "&amp;MIN(C9:L9)&amp;"–"&amp;MAX(C9:L9)&amp;" m. nebetenkinami finansinio pajėgumo kriterijai."</f>
        <v>Tikslas: parodyti investicijų portfelio poveikį įmonės finansinei būklei, kai visoms investicijoms taikomas vartotojo pasirinktas papildomos dedamosios intensyvumas, ir nustatyti pirmą investiciją, po kurios bent vienais 2026–2035 m. nebetenkinami finansinio pajėgumo kriterijai.</v>
      </c>
      <c r="B2" s="139"/>
      <c r="C2" s="139"/>
      <c r="D2" s="139"/>
      <c r="E2" s="139"/>
      <c r="F2" s="139"/>
      <c r="G2" s="139"/>
      <c r="H2" s="139"/>
      <c r="I2" s="139"/>
      <c r="J2" s="139"/>
      <c r="K2" s="139"/>
      <c r="L2" s="139"/>
      <c r="M2" s="139"/>
      <c r="N2" s="139"/>
      <c r="O2" s="139"/>
      <c r="P2" s="139"/>
      <c r="Q2" s="139"/>
      <c r="R2" s="139"/>
      <c r="S2" s="139"/>
      <c r="T2" s="139"/>
    </row>
    <row r="3" spans="1:20">
      <c r="A3" s="83"/>
      <c r="B3" s="83"/>
      <c r="C3" s="83"/>
      <c r="D3" s="83"/>
      <c r="E3" s="83"/>
      <c r="F3" s="83"/>
      <c r="G3" s="83"/>
      <c r="H3" s="83"/>
      <c r="I3" s="83"/>
      <c r="J3" s="83"/>
      <c r="K3" s="83"/>
      <c r="L3" s="83"/>
      <c r="M3" s="83"/>
      <c r="N3" s="83"/>
      <c r="O3" s="83"/>
      <c r="P3" s="83"/>
      <c r="Q3" s="83"/>
      <c r="R3" s="83"/>
      <c r="S3" s="83"/>
      <c r="T3" s="83"/>
    </row>
    <row r="4" spans="1:20">
      <c r="A4" s="27" t="s">
        <v>38</v>
      </c>
      <c r="B4" s="27"/>
      <c r="C4" s="27" t="s">
        <v>19</v>
      </c>
      <c r="D4" s="27" t="s">
        <v>20</v>
      </c>
      <c r="E4" s="27"/>
      <c r="F4" s="27"/>
      <c r="G4" s="27"/>
      <c r="H4" s="27"/>
      <c r="I4" s="27"/>
      <c r="J4" s="27"/>
      <c r="K4" s="2"/>
      <c r="L4" s="2"/>
      <c r="M4" s="2"/>
      <c r="N4" s="2"/>
      <c r="O4" s="2"/>
      <c r="P4" s="2"/>
      <c r="Q4" s="2"/>
      <c r="R4" s="2"/>
      <c r="S4" s="2"/>
      <c r="T4" s="2"/>
    </row>
    <row r="5" spans="1:20" s="106" customFormat="1">
      <c r="A5" s="117" t="s">
        <v>64</v>
      </c>
      <c r="C5" s="118">
        <v>1</v>
      </c>
      <c r="D5" s="117" t="s">
        <v>166</v>
      </c>
      <c r="E5" s="113"/>
      <c r="F5" s="113"/>
      <c r="G5" s="113"/>
      <c r="H5" s="113"/>
      <c r="I5" s="113"/>
      <c r="J5" s="113"/>
      <c r="K5" s="113"/>
      <c r="L5" s="113"/>
      <c r="M5" s="113"/>
      <c r="N5" s="113"/>
      <c r="O5" s="113"/>
      <c r="P5" s="113"/>
      <c r="Q5" s="113"/>
      <c r="R5" s="113"/>
      <c r="S5" s="113"/>
      <c r="T5" s="113"/>
    </row>
    <row r="6" spans="1:20" s="106" customFormat="1">
      <c r="A6" s="117" t="s">
        <v>204</v>
      </c>
      <c r="C6" s="119"/>
      <c r="D6" s="117" t="s">
        <v>205</v>
      </c>
      <c r="E6" s="113"/>
      <c r="F6" s="113"/>
      <c r="G6" s="113"/>
      <c r="H6" s="113"/>
      <c r="I6" s="113"/>
      <c r="J6" s="113"/>
      <c r="K6" s="113"/>
      <c r="L6" s="113"/>
      <c r="M6" s="113"/>
      <c r="N6" s="113"/>
      <c r="O6" s="113"/>
      <c r="P6" s="113"/>
      <c r="Q6" s="113"/>
      <c r="R6" s="113"/>
      <c r="S6" s="113"/>
      <c r="T6" s="113"/>
    </row>
    <row r="7" spans="1:20">
      <c r="A7" s="32" t="s">
        <v>21</v>
      </c>
      <c r="C7" s="100" t="str">
        <f>'5. 0% scenarijus'!C5</f>
        <v>%</v>
      </c>
      <c r="D7" s="32" t="s">
        <v>162</v>
      </c>
      <c r="E7" s="2"/>
      <c r="F7" s="2"/>
      <c r="G7" s="2"/>
      <c r="H7" s="2"/>
      <c r="I7" s="2"/>
      <c r="J7" s="2"/>
      <c r="K7" s="2"/>
      <c r="L7" s="2"/>
      <c r="M7" s="2"/>
      <c r="N7" s="2"/>
      <c r="O7" s="2"/>
      <c r="P7" s="2"/>
      <c r="Q7" s="2"/>
      <c r="R7" s="2"/>
      <c r="S7" s="2"/>
      <c r="T7" s="2"/>
    </row>
    <row r="8" spans="1:20">
      <c r="A8" s="32"/>
      <c r="B8" s="82"/>
      <c r="C8" s="32"/>
      <c r="D8" s="2"/>
      <c r="E8" s="2"/>
      <c r="F8" s="2"/>
      <c r="G8" s="2"/>
      <c r="H8" s="2"/>
      <c r="I8" s="2"/>
      <c r="J8" s="2"/>
      <c r="K8" s="2"/>
      <c r="L8" s="2"/>
      <c r="M8" s="2"/>
      <c r="N8" s="2"/>
      <c r="O8" s="2"/>
      <c r="P8" s="2"/>
      <c r="Q8" s="2"/>
      <c r="R8" s="2"/>
      <c r="S8" s="2"/>
      <c r="T8" s="2"/>
    </row>
    <row r="9" spans="1:20">
      <c r="A9" s="8" t="s">
        <v>1</v>
      </c>
      <c r="B9" s="8" t="s">
        <v>22</v>
      </c>
      <c r="C9" s="8">
        <f>'3. Finansinės prielaidos'!C26</f>
        <v>2026</v>
      </c>
      <c r="D9" s="8">
        <f>'3. Finansinės prielaidos'!D26</f>
        <v>2027</v>
      </c>
      <c r="E9" s="8">
        <f>'3. Finansinės prielaidos'!E26</f>
        <v>2028</v>
      </c>
      <c r="F9" s="8">
        <f>'3. Finansinės prielaidos'!F26</f>
        <v>2029</v>
      </c>
      <c r="G9" s="8">
        <f>'3. Finansinės prielaidos'!G26</f>
        <v>2030</v>
      </c>
      <c r="H9" s="8">
        <f>'3. Finansinės prielaidos'!H26</f>
        <v>2031</v>
      </c>
      <c r="I9" s="8">
        <f>'3. Finansinės prielaidos'!I26</f>
        <v>2032</v>
      </c>
      <c r="J9" s="8">
        <f>'3. Finansinės prielaidos'!J26</f>
        <v>2033</v>
      </c>
      <c r="K9" s="8">
        <f>'3. Finansinės prielaidos'!K26</f>
        <v>2034</v>
      </c>
      <c r="L9" s="8">
        <f>'3. Finansinės prielaidos'!L26</f>
        <v>2035</v>
      </c>
      <c r="M9" s="2"/>
      <c r="N9" s="2"/>
      <c r="O9" s="2"/>
      <c r="P9" s="2"/>
      <c r="Q9" s="2"/>
      <c r="R9" s="2"/>
      <c r="S9" s="2"/>
      <c r="T9" s="2"/>
    </row>
    <row r="10" spans="1:20">
      <c r="A10" s="22">
        <v>1</v>
      </c>
      <c r="B10" s="19" t="s">
        <v>314</v>
      </c>
      <c r="C10" s="20">
        <f>IF('3. Finansinės prielaidos'!C29="","",'3. Finansinės prielaidos'!C29)</f>
        <v>0</v>
      </c>
      <c r="D10" s="20">
        <f>IF('3. Finansinės prielaidos'!D29="","",'3. Finansinės prielaidos'!D29)</f>
        <v>0</v>
      </c>
      <c r="E10" s="20">
        <f>IF('3. Finansinės prielaidos'!E29="","",'3. Finansinės prielaidos'!E29)</f>
        <v>0</v>
      </c>
      <c r="F10" s="20">
        <f>IF('3. Finansinės prielaidos'!F29="","",'3. Finansinės prielaidos'!F29)</f>
        <v>0</v>
      </c>
      <c r="G10" s="20">
        <f>IF('3. Finansinės prielaidos'!G29="","",'3. Finansinės prielaidos'!G29)</f>
        <v>0</v>
      </c>
      <c r="H10" s="20">
        <f>IF('3. Finansinės prielaidos'!H29="","",'3. Finansinės prielaidos'!H29)</f>
        <v>0</v>
      </c>
      <c r="I10" s="20">
        <f>IF('3. Finansinės prielaidos'!I29="","",'3. Finansinės prielaidos'!I29)</f>
        <v>0</v>
      </c>
      <c r="J10" s="20">
        <f>IF('3. Finansinės prielaidos'!J29="","",'3. Finansinės prielaidos'!J29)</f>
        <v>0</v>
      </c>
      <c r="K10" s="20">
        <f>IF('3. Finansinės prielaidos'!K29="","",'3. Finansinės prielaidos'!K29)</f>
        <v>0</v>
      </c>
      <c r="L10" s="20">
        <f>IF('3. Finansinės prielaidos'!L29="","",'3. Finansinės prielaidos'!L29)</f>
        <v>0</v>
      </c>
      <c r="M10" s="2"/>
      <c r="N10" s="2"/>
      <c r="O10" s="2"/>
      <c r="P10" s="2"/>
      <c r="Q10" s="2"/>
      <c r="R10" s="2"/>
      <c r="S10" s="2"/>
      <c r="T10" s="2"/>
    </row>
    <row r="11" spans="1:20">
      <c r="A11" s="33">
        <v>2</v>
      </c>
      <c r="B11" s="17" t="s">
        <v>315</v>
      </c>
      <c r="C11" s="20" cm="1">
        <f t="array" ref="C11">IF($C$7="","",SUMPRODUCT(--(C$9&gt;'2. Investicijos'!$F$5:$F$24),--(C$9&lt;='2. Investicijos'!$F$5:$F$24+'2. Investicijos'!$G$5:$G$24),IFERROR(('2. Investicijos'!$M$5:$M$24+IF('2. Investicijos'!$N$5:$N$24&gt;('2. Investicijos'!$H$5:$H$24*$C$6),'2. Investicijos'!$N$5:$N$24-('2. Investicijos'!$H$5:$H$24*$C$6),0)+('2. Investicijos'!$H$5:$H$24*$C$6))/'2. Investicijos'!$G$5:$G$24,0)))</f>
        <v>0</v>
      </c>
      <c r="D11" s="20" cm="1">
        <f t="array" ref="D11">IF($C$7="","",SUMPRODUCT(--(D$9&gt;'2. Investicijos'!$F$5:$F$24),--(D$9&lt;='2. Investicijos'!$F$5:$F$24+'2. Investicijos'!$G$5:$G$24),IFERROR(('2. Investicijos'!$M$5:$M$24+IF('2. Investicijos'!$N$5:$N$24&gt;('2. Investicijos'!$H$5:$H$24*$C$6),'2. Investicijos'!$N$5:$N$24-('2. Investicijos'!$H$5:$H$24*$C$6),0)+('2. Investicijos'!$H$5:$H$24*$C$6))/'2. Investicijos'!$G$5:$G$24,0)))</f>
        <v>0</v>
      </c>
      <c r="E11" s="20" cm="1">
        <f t="array" ref="E11">IF($C$7="","",SUMPRODUCT(--(E$9&gt;'2. Investicijos'!$F$5:$F$24),--(E$9&lt;='2. Investicijos'!$F$5:$F$24+'2. Investicijos'!$G$5:$G$24),IFERROR(('2. Investicijos'!$M$5:$M$24+IF('2. Investicijos'!$N$5:$N$24&gt;('2. Investicijos'!$H$5:$H$24*$C$6),'2. Investicijos'!$N$5:$N$24-('2. Investicijos'!$H$5:$H$24*$C$6),0)+('2. Investicijos'!$H$5:$H$24*$C$6))/'2. Investicijos'!$G$5:$G$24,0)))</f>
        <v>0</v>
      </c>
      <c r="F11" s="20" cm="1">
        <f t="array" ref="F11">IF($C$7="","",SUMPRODUCT(--(F$9&gt;'2. Investicijos'!$F$5:$F$24),--(F$9&lt;='2. Investicijos'!$F$5:$F$24+'2. Investicijos'!$G$5:$G$24),IFERROR(('2. Investicijos'!$M$5:$M$24+IF('2. Investicijos'!$N$5:$N$24&gt;('2. Investicijos'!$H$5:$H$24*$C$6),'2. Investicijos'!$N$5:$N$24-('2. Investicijos'!$H$5:$H$24*$C$6),0)+('2. Investicijos'!$H$5:$H$24*$C$6))/'2. Investicijos'!$G$5:$G$24,0)))</f>
        <v>0</v>
      </c>
      <c r="G11" s="20" cm="1">
        <f t="array" ref="G11">IF($C$7="","",SUMPRODUCT(--(G$9&gt;'2. Investicijos'!$F$5:$F$24),--(G$9&lt;='2. Investicijos'!$F$5:$F$24+'2. Investicijos'!$G$5:$G$24),IFERROR(('2. Investicijos'!$M$5:$M$24+IF('2. Investicijos'!$N$5:$N$24&gt;('2. Investicijos'!$H$5:$H$24*$C$6),'2. Investicijos'!$N$5:$N$24-('2. Investicijos'!$H$5:$H$24*$C$6),0)+('2. Investicijos'!$H$5:$H$24*$C$6))/'2. Investicijos'!$G$5:$G$24,0)))</f>
        <v>0</v>
      </c>
      <c r="H11" s="20" cm="1">
        <f t="array" ref="H11">IF($C$7="","",SUMPRODUCT(--(H$9&gt;'2. Investicijos'!$F$5:$F$24),--(H$9&lt;='2. Investicijos'!$F$5:$F$24+'2. Investicijos'!$G$5:$G$24),IFERROR(('2. Investicijos'!$M$5:$M$24+IF('2. Investicijos'!$N$5:$N$24&gt;('2. Investicijos'!$H$5:$H$24*$C$6),'2. Investicijos'!$N$5:$N$24-('2. Investicijos'!$H$5:$H$24*$C$6),0)+('2. Investicijos'!$H$5:$H$24*$C$6))/'2. Investicijos'!$G$5:$G$24,0)))</f>
        <v>0</v>
      </c>
      <c r="I11" s="20" cm="1">
        <f t="array" ref="I11">IF($C$7="","",SUMPRODUCT(--(I$9&gt;'2. Investicijos'!$F$5:$F$24),--(I$9&lt;='2. Investicijos'!$F$5:$F$24+'2. Investicijos'!$G$5:$G$24),IFERROR(('2. Investicijos'!$M$5:$M$24+IF('2. Investicijos'!$N$5:$N$24&gt;('2. Investicijos'!$H$5:$H$24*$C$6),'2. Investicijos'!$N$5:$N$24-('2. Investicijos'!$H$5:$H$24*$C$6),0)+('2. Investicijos'!$H$5:$H$24*$C$6))/'2. Investicijos'!$G$5:$G$24,0)))</f>
        <v>0</v>
      </c>
      <c r="J11" s="20" cm="1">
        <f t="array" ref="J11">IF($C$7="","",SUMPRODUCT(--(J$9&gt;'2. Investicijos'!$F$5:$F$24),--(J$9&lt;='2. Investicijos'!$F$5:$F$24+'2. Investicijos'!$G$5:$G$24),IFERROR(('2. Investicijos'!$M$5:$M$24+IF('2. Investicijos'!$N$5:$N$24&gt;('2. Investicijos'!$H$5:$H$24*$C$6),'2. Investicijos'!$N$5:$N$24-('2. Investicijos'!$H$5:$H$24*$C$6),0)+('2. Investicijos'!$H$5:$H$24*$C$6))/'2. Investicijos'!$G$5:$G$24,0)))</f>
        <v>0</v>
      </c>
      <c r="K11" s="20" cm="1">
        <f t="array" ref="K11">IF($C$7="","",SUMPRODUCT(--(K$9&gt;'2. Investicijos'!$F$5:$F$24),--(K$9&lt;='2. Investicijos'!$F$5:$F$24+'2. Investicijos'!$G$5:$G$24),IFERROR(('2. Investicijos'!$M$5:$M$24+IF('2. Investicijos'!$N$5:$N$24&gt;('2. Investicijos'!$H$5:$H$24*$C$6),'2. Investicijos'!$N$5:$N$24-('2. Investicijos'!$H$5:$H$24*$C$6),0)+('2. Investicijos'!$H$5:$H$24*$C$6))/'2. Investicijos'!$G$5:$G$24,0)))</f>
        <v>0</v>
      </c>
      <c r="L11" s="20" cm="1">
        <f t="array" ref="L11">IF($C$7="","",SUMPRODUCT(--(L$9&gt;'2. Investicijos'!$F$5:$F$24),--(L$9&lt;='2. Investicijos'!$F$5:$F$24+'2. Investicijos'!$G$5:$G$24),IFERROR(('2. Investicijos'!$M$5:$M$24+IF('2. Investicijos'!$N$5:$N$24&gt;('2. Investicijos'!$H$5:$H$24*$C$6),'2. Investicijos'!$N$5:$N$24-('2. Investicijos'!$H$5:$H$24*$C$6),0)+('2. Investicijos'!$H$5:$H$24*$C$6))/'2. Investicijos'!$G$5:$G$24,0)))</f>
        <v>0</v>
      </c>
      <c r="M11" s="2"/>
      <c r="N11" s="2"/>
      <c r="O11" s="2"/>
      <c r="P11" s="2"/>
      <c r="Q11" s="2"/>
      <c r="R11" s="2"/>
      <c r="S11" s="2"/>
      <c r="T11" s="2"/>
    </row>
    <row r="12" spans="1:20">
      <c r="A12" s="33">
        <v>3</v>
      </c>
      <c r="B12" s="17" t="s">
        <v>316</v>
      </c>
      <c r="C12" s="20" t="e" cm="1">
        <f t="array" ref="C12">IF($C$7="","",SUMPRODUCT(--(C$9&gt;'2. Investicijos'!$F$5:$F$24),--(C$9&lt;='2. Investicijos'!$F$5:$F$24+'2. Investicijos'!$G$5:$G$24),IFERROR(('2. Investicijos'!$M$5:$M$24+IF('2. Investicijos'!$N$5:$N$24&gt;('2. Investicijos'!$H$5:$H$24*$C$6),'2. Investicijos'!$N$5:$N$24-('2. Investicijos'!$H$5:$H$24*$C$6),0))*(1-((C$9-'2. Investicijos'!$F$5:$F$24)-1)/'2. Investicijos'!$G$5:$G$24),0))*$C$7)</f>
        <v>#VALUE!</v>
      </c>
      <c r="D12" s="20" t="e" cm="1">
        <f t="array" ref="D12">IF($C$7="","",SUMPRODUCT(--(D$9&gt;'2. Investicijos'!$F$5:$F$24),--(D$9&lt;='2. Investicijos'!$F$5:$F$24+'2. Investicijos'!$G$5:$G$24),IFERROR(('2. Investicijos'!$M$5:$M$24+IF('2. Investicijos'!$N$5:$N$24&gt;('2. Investicijos'!$H$5:$H$24*$C$6),'2. Investicijos'!$N$5:$N$24-('2. Investicijos'!$H$5:$H$24*$C$6),0))*(1-((D$9-'2. Investicijos'!$F$5:$F$24)-1)/'2. Investicijos'!$G$5:$G$24),0))*$C$7)</f>
        <v>#VALUE!</v>
      </c>
      <c r="E12" s="20" t="e" cm="1">
        <f t="array" ref="E12">IF($C$7="","",SUMPRODUCT(--(E$9&gt;'2. Investicijos'!$F$5:$F$24),--(E$9&lt;='2. Investicijos'!$F$5:$F$24+'2. Investicijos'!$G$5:$G$24),IFERROR(('2. Investicijos'!$M$5:$M$24+IF('2. Investicijos'!$N$5:$N$24&gt;('2. Investicijos'!$H$5:$H$24*$C$6),'2. Investicijos'!$N$5:$N$24-('2. Investicijos'!$H$5:$H$24*$C$6),0))*(1-((E$9-'2. Investicijos'!$F$5:$F$24)-1)/'2. Investicijos'!$G$5:$G$24),0))*$C$7)</f>
        <v>#VALUE!</v>
      </c>
      <c r="F12" s="20" t="e" cm="1">
        <f t="array" ref="F12">IF($C$7="","",SUMPRODUCT(--(F$9&gt;'2. Investicijos'!$F$5:$F$24),--(F$9&lt;='2. Investicijos'!$F$5:$F$24+'2. Investicijos'!$G$5:$G$24),IFERROR(('2. Investicijos'!$M$5:$M$24+IF('2. Investicijos'!$N$5:$N$24&gt;('2. Investicijos'!$H$5:$H$24*$C$6),'2. Investicijos'!$N$5:$N$24-('2. Investicijos'!$H$5:$H$24*$C$6),0))*(1-((F$9-'2. Investicijos'!$F$5:$F$24)-1)/'2. Investicijos'!$G$5:$G$24),0))*$C$7)</f>
        <v>#VALUE!</v>
      </c>
      <c r="G12" s="20" t="e" cm="1">
        <f t="array" ref="G12">IF($C$7="","",SUMPRODUCT(--(G$9&gt;'2. Investicijos'!$F$5:$F$24),--(G$9&lt;='2. Investicijos'!$F$5:$F$24+'2. Investicijos'!$G$5:$G$24),IFERROR(('2. Investicijos'!$M$5:$M$24+IF('2. Investicijos'!$N$5:$N$24&gt;('2. Investicijos'!$H$5:$H$24*$C$6),'2. Investicijos'!$N$5:$N$24-('2. Investicijos'!$H$5:$H$24*$C$6),0))*(1-((G$9-'2. Investicijos'!$F$5:$F$24)-1)/'2. Investicijos'!$G$5:$G$24),0))*$C$7)</f>
        <v>#VALUE!</v>
      </c>
      <c r="H12" s="20" t="e" cm="1">
        <f t="array" ref="H12">IF($C$7="","",SUMPRODUCT(--(H$9&gt;'2. Investicijos'!$F$5:$F$24),--(H$9&lt;='2. Investicijos'!$F$5:$F$24+'2. Investicijos'!$G$5:$G$24),IFERROR(('2. Investicijos'!$M$5:$M$24+IF('2. Investicijos'!$N$5:$N$24&gt;('2. Investicijos'!$H$5:$H$24*$C$6),'2. Investicijos'!$N$5:$N$24-('2. Investicijos'!$H$5:$H$24*$C$6),0))*(1-((H$9-'2. Investicijos'!$F$5:$F$24)-1)/'2. Investicijos'!$G$5:$G$24),0))*$C$7)</f>
        <v>#VALUE!</v>
      </c>
      <c r="I12" s="20" t="e" cm="1">
        <f t="array" ref="I12">IF($C$7="","",SUMPRODUCT(--(I$9&gt;'2. Investicijos'!$F$5:$F$24),--(I$9&lt;='2. Investicijos'!$F$5:$F$24+'2. Investicijos'!$G$5:$G$24),IFERROR(('2. Investicijos'!$M$5:$M$24+IF('2. Investicijos'!$N$5:$N$24&gt;('2. Investicijos'!$H$5:$H$24*$C$6),'2. Investicijos'!$N$5:$N$24-('2. Investicijos'!$H$5:$H$24*$C$6),0))*(1-((I$9-'2. Investicijos'!$F$5:$F$24)-1)/'2. Investicijos'!$G$5:$G$24),0))*$C$7)</f>
        <v>#VALUE!</v>
      </c>
      <c r="J12" s="20" t="e" cm="1">
        <f t="array" ref="J12">IF($C$7="","",SUMPRODUCT(--(J$9&gt;'2. Investicijos'!$F$5:$F$24),--(J$9&lt;='2. Investicijos'!$F$5:$F$24+'2. Investicijos'!$G$5:$G$24),IFERROR(('2. Investicijos'!$M$5:$M$24+IF('2. Investicijos'!$N$5:$N$24&gt;('2. Investicijos'!$H$5:$H$24*$C$6),'2. Investicijos'!$N$5:$N$24-('2. Investicijos'!$H$5:$H$24*$C$6),0))*(1-((J$9-'2. Investicijos'!$F$5:$F$24)-1)/'2. Investicijos'!$G$5:$G$24),0))*$C$7)</f>
        <v>#VALUE!</v>
      </c>
      <c r="K12" s="20" t="e" cm="1">
        <f t="array" ref="K12">IF($C$7="","",SUMPRODUCT(--(K$9&gt;'2. Investicijos'!$F$5:$F$24),--(K$9&lt;='2. Investicijos'!$F$5:$F$24+'2. Investicijos'!$G$5:$G$24),IFERROR(('2. Investicijos'!$M$5:$M$24+IF('2. Investicijos'!$N$5:$N$24&gt;('2. Investicijos'!$H$5:$H$24*$C$6),'2. Investicijos'!$N$5:$N$24-('2. Investicijos'!$H$5:$H$24*$C$6),0))*(1-((K$9-'2. Investicijos'!$F$5:$F$24)-1)/'2. Investicijos'!$G$5:$G$24),0))*$C$7)</f>
        <v>#VALUE!</v>
      </c>
      <c r="L12" s="20" t="e" cm="1">
        <f t="array" ref="L12">IF($C$7="","",SUMPRODUCT(--(L$9&gt;'2. Investicijos'!$F$5:$F$24),--(L$9&lt;='2. Investicijos'!$F$5:$F$24+'2. Investicijos'!$G$5:$G$24),IFERROR(('2. Investicijos'!$M$5:$M$24+IF('2. Investicijos'!$N$5:$N$24&gt;('2. Investicijos'!$H$5:$H$24*$C$6),'2. Investicijos'!$N$5:$N$24-('2. Investicijos'!$H$5:$H$24*$C$6),0))*(1-((L$9-'2. Investicijos'!$F$5:$F$24)-1)/'2. Investicijos'!$G$5:$G$24),0))*$C$7)</f>
        <v>#VALUE!</v>
      </c>
      <c r="M12" s="2"/>
      <c r="N12" s="2"/>
      <c r="O12" s="2"/>
      <c r="P12" s="2"/>
      <c r="Q12" s="2"/>
      <c r="R12" s="2"/>
      <c r="S12" s="2"/>
      <c r="T12" s="2"/>
    </row>
    <row r="13" spans="1:20">
      <c r="A13" s="22">
        <v>4</v>
      </c>
      <c r="B13" s="19" t="s">
        <v>163</v>
      </c>
      <c r="C13" s="20">
        <f t="shared" ref="C13:L13" si="0">IF(OR($C$5="",$C$5&lt;1,$C$5&gt;2),"",IF(AND(C$9&gt;=2026,C$9&lt;2026+$C$5),SUM($F$42:$F$61)/$C$5,0))</f>
        <v>0</v>
      </c>
      <c r="D13" s="20">
        <f t="shared" si="0"/>
        <v>0</v>
      </c>
      <c r="E13" s="20">
        <f t="shared" si="0"/>
        <v>0</v>
      </c>
      <c r="F13" s="20">
        <f t="shared" si="0"/>
        <v>0</v>
      </c>
      <c r="G13" s="20">
        <f t="shared" si="0"/>
        <v>0</v>
      </c>
      <c r="H13" s="20">
        <f t="shared" si="0"/>
        <v>0</v>
      </c>
      <c r="I13" s="20">
        <f t="shared" si="0"/>
        <v>0</v>
      </c>
      <c r="J13" s="20">
        <f t="shared" si="0"/>
        <v>0</v>
      </c>
      <c r="K13" s="20">
        <f t="shared" si="0"/>
        <v>0</v>
      </c>
      <c r="L13" s="20">
        <f t="shared" si="0"/>
        <v>0</v>
      </c>
      <c r="M13" s="2"/>
      <c r="N13" s="2"/>
      <c r="O13" s="2"/>
      <c r="P13" s="2"/>
      <c r="Q13" s="2"/>
      <c r="R13" s="2"/>
      <c r="S13" s="2"/>
      <c r="T13" s="2"/>
    </row>
    <row r="14" spans="1:20">
      <c r="A14" s="35">
        <v>5</v>
      </c>
      <c r="B14" s="36" t="s">
        <v>164</v>
      </c>
      <c r="C14" s="39">
        <f t="shared" ref="C14:L14" si="1">IF(C10="","",C10+IFERROR(C11,0)+IFERROR(C12,0)+IFERROR(C13,0))</f>
        <v>0</v>
      </c>
      <c r="D14" s="39">
        <f t="shared" si="1"/>
        <v>0</v>
      </c>
      <c r="E14" s="39">
        <f t="shared" si="1"/>
        <v>0</v>
      </c>
      <c r="F14" s="39">
        <f t="shared" si="1"/>
        <v>0</v>
      </c>
      <c r="G14" s="39">
        <f t="shared" si="1"/>
        <v>0</v>
      </c>
      <c r="H14" s="39">
        <f t="shared" si="1"/>
        <v>0</v>
      </c>
      <c r="I14" s="39">
        <f t="shared" si="1"/>
        <v>0</v>
      </c>
      <c r="J14" s="39">
        <f t="shared" si="1"/>
        <v>0</v>
      </c>
      <c r="K14" s="39">
        <f t="shared" si="1"/>
        <v>0</v>
      </c>
      <c r="L14" s="39">
        <f t="shared" si="1"/>
        <v>0</v>
      </c>
      <c r="M14" s="2"/>
      <c r="N14" s="2"/>
      <c r="O14" s="2"/>
      <c r="P14" s="2"/>
      <c r="Q14" s="2"/>
      <c r="R14" s="2"/>
      <c r="S14" s="2"/>
      <c r="T14" s="2"/>
    </row>
    <row r="15" spans="1:20">
      <c r="A15" s="22">
        <v>6</v>
      </c>
      <c r="B15" s="19" t="s">
        <v>134</v>
      </c>
      <c r="C15" s="20">
        <f>IF('3. Finansinės prielaidos'!C30="","",'3. Finansinės prielaidos'!C30)</f>
        <v>0</v>
      </c>
      <c r="D15" s="20">
        <f>IF('3. Finansinės prielaidos'!D30="","",'3. Finansinės prielaidos'!D30)</f>
        <v>0</v>
      </c>
      <c r="E15" s="20">
        <f>IF('3. Finansinės prielaidos'!E30="","",'3. Finansinės prielaidos'!E30)</f>
        <v>0</v>
      </c>
      <c r="F15" s="20">
        <f>IF('3. Finansinės prielaidos'!F30="","",'3. Finansinės prielaidos'!F30)</f>
        <v>0</v>
      </c>
      <c r="G15" s="20">
        <f>IF('3. Finansinės prielaidos'!G30="","",'3. Finansinės prielaidos'!G30)</f>
        <v>0</v>
      </c>
      <c r="H15" s="20">
        <f>IF('3. Finansinės prielaidos'!H30="","",'3. Finansinės prielaidos'!H30)</f>
        <v>0</v>
      </c>
      <c r="I15" s="20">
        <f>IF('3. Finansinės prielaidos'!I30="","",'3. Finansinės prielaidos'!I30)</f>
        <v>0</v>
      </c>
      <c r="J15" s="20">
        <f>IF('3. Finansinės prielaidos'!J30="","",'3. Finansinės prielaidos'!J30)</f>
        <v>0</v>
      </c>
      <c r="K15" s="20">
        <f>IF('3. Finansinės prielaidos'!K30="","",'3. Finansinės prielaidos'!K30)</f>
        <v>0</v>
      </c>
      <c r="L15" s="20">
        <f>IF('3. Finansinės prielaidos'!L30="","",'3. Finansinės prielaidos'!L30)</f>
        <v>0</v>
      </c>
      <c r="M15" s="2"/>
      <c r="N15" s="2"/>
      <c r="O15" s="2"/>
      <c r="P15" s="2"/>
      <c r="Q15" s="2"/>
      <c r="R15" s="2"/>
      <c r="S15" s="2"/>
      <c r="T15" s="2"/>
    </row>
    <row r="16" spans="1:20">
      <c r="A16" s="22">
        <v>7</v>
      </c>
      <c r="B16" s="19" t="s">
        <v>165</v>
      </c>
      <c r="C16" s="20">
        <f>'7A. Pagalbiniai skaičiavimai'!F25</f>
        <v>0</v>
      </c>
      <c r="D16" s="20">
        <f>'7A. Pagalbiniai skaičiavimai'!G25</f>
        <v>0</v>
      </c>
      <c r="E16" s="20">
        <f>'7A. Pagalbiniai skaičiavimai'!H25</f>
        <v>0</v>
      </c>
      <c r="F16" s="20">
        <f>'7A. Pagalbiniai skaičiavimai'!I25</f>
        <v>0</v>
      </c>
      <c r="G16" s="20">
        <f>'7A. Pagalbiniai skaičiavimai'!J25</f>
        <v>0</v>
      </c>
      <c r="H16" s="20">
        <f>'7A. Pagalbiniai skaičiavimai'!K25</f>
        <v>0</v>
      </c>
      <c r="I16" s="20">
        <f>'7A. Pagalbiniai skaičiavimai'!L25</f>
        <v>0</v>
      </c>
      <c r="J16" s="20">
        <f>'7A. Pagalbiniai skaičiavimai'!M25</f>
        <v>0</v>
      </c>
      <c r="K16" s="20">
        <f>'7A. Pagalbiniai skaičiavimai'!N25</f>
        <v>0</v>
      </c>
      <c r="L16" s="20">
        <f>'7A. Pagalbiniai skaičiavimai'!O25</f>
        <v>0</v>
      </c>
      <c r="M16" s="2"/>
      <c r="N16" s="2"/>
      <c r="O16" s="2"/>
      <c r="P16" s="2"/>
      <c r="Q16" s="2"/>
      <c r="R16" s="2"/>
      <c r="S16" s="2"/>
      <c r="T16" s="2"/>
    </row>
    <row r="17" spans="1:20">
      <c r="A17" s="22">
        <v>8</v>
      </c>
      <c r="B17" s="19" t="s">
        <v>136</v>
      </c>
      <c r="C17" s="20">
        <f>'7A. Pagalbiniai skaičiavimai'!P25</f>
        <v>0</v>
      </c>
      <c r="D17" s="20">
        <f>'7A. Pagalbiniai skaičiavimai'!Q25</f>
        <v>0</v>
      </c>
      <c r="E17" s="20">
        <f>'7A. Pagalbiniai skaičiavimai'!R25</f>
        <v>0</v>
      </c>
      <c r="F17" s="20">
        <f>'7A. Pagalbiniai skaičiavimai'!S25</f>
        <v>0</v>
      </c>
      <c r="G17" s="20">
        <f>'7A. Pagalbiniai skaičiavimai'!T25</f>
        <v>0</v>
      </c>
      <c r="H17" s="20">
        <f>'7A. Pagalbiniai skaičiavimai'!U25</f>
        <v>0</v>
      </c>
      <c r="I17" s="20">
        <f>'7A. Pagalbiniai skaičiavimai'!V25</f>
        <v>0</v>
      </c>
      <c r="J17" s="20">
        <f>'7A. Pagalbiniai skaičiavimai'!W25</f>
        <v>0</v>
      </c>
      <c r="K17" s="20">
        <f>'7A. Pagalbiniai skaičiavimai'!X25</f>
        <v>0</v>
      </c>
      <c r="L17" s="20">
        <f>'7A. Pagalbiniai skaičiavimai'!Y25</f>
        <v>0</v>
      </c>
      <c r="M17" s="2"/>
      <c r="N17" s="2"/>
      <c r="O17" s="2"/>
      <c r="P17" s="2"/>
      <c r="Q17" s="2"/>
      <c r="R17" s="2"/>
      <c r="S17" s="2"/>
      <c r="T17" s="2"/>
    </row>
    <row r="18" spans="1:20">
      <c r="A18" s="22">
        <v>9</v>
      </c>
      <c r="B18" s="19" t="s">
        <v>137</v>
      </c>
      <c r="C18" s="20">
        <f>'7A. Pagalbiniai skaičiavimai'!Z25</f>
        <v>0</v>
      </c>
      <c r="D18" s="20">
        <f>'7A. Pagalbiniai skaičiavimai'!AA25</f>
        <v>0</v>
      </c>
      <c r="E18" s="20">
        <f>'7A. Pagalbiniai skaičiavimai'!AB25</f>
        <v>0</v>
      </c>
      <c r="F18" s="20">
        <f>'7A. Pagalbiniai skaičiavimai'!AC25</f>
        <v>0</v>
      </c>
      <c r="G18" s="20">
        <f>'7A. Pagalbiniai skaičiavimai'!AD25</f>
        <v>0</v>
      </c>
      <c r="H18" s="20">
        <f>'7A. Pagalbiniai skaičiavimai'!AE25</f>
        <v>0</v>
      </c>
      <c r="I18" s="20">
        <f>'7A. Pagalbiniai skaičiavimai'!AF25</f>
        <v>0</v>
      </c>
      <c r="J18" s="20">
        <f>'7A. Pagalbiniai skaičiavimai'!AG25</f>
        <v>0</v>
      </c>
      <c r="K18" s="20">
        <f>'7A. Pagalbiniai skaičiavimai'!AH25</f>
        <v>0</v>
      </c>
      <c r="L18" s="20">
        <f>'7A. Pagalbiniai skaičiavimai'!AI25</f>
        <v>0</v>
      </c>
      <c r="M18" s="2"/>
      <c r="N18" s="2"/>
      <c r="O18" s="2"/>
      <c r="P18" s="2"/>
      <c r="Q18" s="2"/>
      <c r="R18" s="2"/>
      <c r="S18" s="2"/>
      <c r="T18" s="2"/>
    </row>
    <row r="19" spans="1:20">
      <c r="A19" s="22">
        <v>10</v>
      </c>
      <c r="B19" s="19" t="s">
        <v>138</v>
      </c>
      <c r="C19" s="20">
        <f>'7A. Pagalbiniai skaičiavimai'!AJ25</f>
        <v>0</v>
      </c>
      <c r="D19" s="20">
        <f>'7A. Pagalbiniai skaičiavimai'!AK25</f>
        <v>0</v>
      </c>
      <c r="E19" s="20">
        <f>'7A. Pagalbiniai skaičiavimai'!AL25</f>
        <v>0</v>
      </c>
      <c r="F19" s="20">
        <f>'7A. Pagalbiniai skaičiavimai'!AM25</f>
        <v>0</v>
      </c>
      <c r="G19" s="20">
        <f>'7A. Pagalbiniai skaičiavimai'!AN25</f>
        <v>0</v>
      </c>
      <c r="H19" s="20">
        <f>'7A. Pagalbiniai skaičiavimai'!AO25</f>
        <v>0</v>
      </c>
      <c r="I19" s="20">
        <f>'7A. Pagalbiniai skaičiavimai'!AP25</f>
        <v>0</v>
      </c>
      <c r="J19" s="20">
        <f>'7A. Pagalbiniai skaičiavimai'!AQ25</f>
        <v>0</v>
      </c>
      <c r="K19" s="20">
        <f>'7A. Pagalbiniai skaičiavimai'!AR25</f>
        <v>0</v>
      </c>
      <c r="L19" s="20">
        <f>'7A. Pagalbiniai skaičiavimai'!AS25</f>
        <v>0</v>
      </c>
      <c r="M19" s="2"/>
      <c r="N19" s="2"/>
      <c r="O19" s="2"/>
      <c r="P19" s="2"/>
      <c r="Q19" s="2"/>
      <c r="R19" s="2"/>
      <c r="S19" s="2"/>
      <c r="T19" s="2"/>
    </row>
    <row r="20" spans="1:20">
      <c r="A20" s="35">
        <v>11</v>
      </c>
      <c r="B20" s="36" t="s">
        <v>161</v>
      </c>
      <c r="C20" s="39">
        <f t="shared" ref="C20:L20" si="2">IF(C15="","",C15+IFERROR(C19,0))</f>
        <v>0</v>
      </c>
      <c r="D20" s="39">
        <f t="shared" si="2"/>
        <v>0</v>
      </c>
      <c r="E20" s="39">
        <f t="shared" si="2"/>
        <v>0</v>
      </c>
      <c r="F20" s="39">
        <f t="shared" si="2"/>
        <v>0</v>
      </c>
      <c r="G20" s="39">
        <f t="shared" si="2"/>
        <v>0</v>
      </c>
      <c r="H20" s="39">
        <f t="shared" si="2"/>
        <v>0</v>
      </c>
      <c r="I20" s="39">
        <f t="shared" si="2"/>
        <v>0</v>
      </c>
      <c r="J20" s="39">
        <f t="shared" si="2"/>
        <v>0</v>
      </c>
      <c r="K20" s="39">
        <f t="shared" si="2"/>
        <v>0</v>
      </c>
      <c r="L20" s="39">
        <f t="shared" si="2"/>
        <v>0</v>
      </c>
      <c r="M20" s="2"/>
      <c r="N20" s="2"/>
      <c r="O20" s="2"/>
      <c r="P20" s="2"/>
      <c r="Q20" s="2"/>
      <c r="R20" s="2"/>
      <c r="S20" s="2"/>
      <c r="T20" s="2"/>
    </row>
    <row r="21" spans="1:20">
      <c r="A21" s="22">
        <v>12</v>
      </c>
      <c r="B21" s="19" t="s">
        <v>139</v>
      </c>
      <c r="C21" s="20">
        <f>IF('3. Finansinės prielaidos'!C31="","",'3. Finansinės prielaidos'!C31)</f>
        <v>0</v>
      </c>
      <c r="D21" s="20">
        <f>IF('3. Finansinės prielaidos'!D31="","",'3. Finansinės prielaidos'!D31)</f>
        <v>0</v>
      </c>
      <c r="E21" s="20">
        <f>IF('3. Finansinės prielaidos'!E31="","",'3. Finansinės prielaidos'!E31)</f>
        <v>0</v>
      </c>
      <c r="F21" s="20">
        <f>IF('3. Finansinės prielaidos'!F31="","",'3. Finansinės prielaidos'!F31)</f>
        <v>0</v>
      </c>
      <c r="G21" s="20">
        <f>IF('3. Finansinės prielaidos'!G31="","",'3. Finansinės prielaidos'!G31)</f>
        <v>0</v>
      </c>
      <c r="H21" s="20">
        <f>IF('3. Finansinės prielaidos'!H31="","",'3. Finansinės prielaidos'!H31)</f>
        <v>0</v>
      </c>
      <c r="I21" s="20">
        <f>IF('3. Finansinės prielaidos'!I31="","",'3. Finansinės prielaidos'!I31)</f>
        <v>0</v>
      </c>
      <c r="J21" s="20">
        <f>IF('3. Finansinės prielaidos'!J31="","",'3. Finansinės prielaidos'!J31)</f>
        <v>0</v>
      </c>
      <c r="K21" s="20">
        <f>IF('3. Finansinės prielaidos'!K31="","",'3. Finansinės prielaidos'!K31)</f>
        <v>0</v>
      </c>
      <c r="L21" s="20">
        <f>IF('3. Finansinės prielaidos'!L31="","",'3. Finansinės prielaidos'!L31)</f>
        <v>0</v>
      </c>
      <c r="M21" s="2"/>
      <c r="N21" s="2"/>
      <c r="O21" s="2"/>
      <c r="P21" s="2"/>
      <c r="Q21" s="2"/>
      <c r="R21" s="2"/>
      <c r="S21" s="2"/>
      <c r="T21" s="2"/>
    </row>
    <row r="22" spans="1:20">
      <c r="A22" s="22">
        <v>13</v>
      </c>
      <c r="B22" s="19" t="s">
        <v>140</v>
      </c>
      <c r="C22" s="20">
        <f>IF('3. Finansinės prielaidos'!C32="","",'3. Finansinės prielaidos'!C32)</f>
        <v>0</v>
      </c>
      <c r="D22" s="20">
        <f>IF('3. Finansinės prielaidos'!D32="","",'3. Finansinės prielaidos'!D32)</f>
        <v>0</v>
      </c>
      <c r="E22" s="20">
        <f>IF('3. Finansinės prielaidos'!E32="","",'3. Finansinės prielaidos'!E32)</f>
        <v>0</v>
      </c>
      <c r="F22" s="20">
        <f>IF('3. Finansinės prielaidos'!F32="","",'3. Finansinės prielaidos'!F32)</f>
        <v>0</v>
      </c>
      <c r="G22" s="20">
        <f>IF('3. Finansinės prielaidos'!G32="","",'3. Finansinės prielaidos'!G32)</f>
        <v>0</v>
      </c>
      <c r="H22" s="20">
        <f>IF('3. Finansinės prielaidos'!H32="","",'3. Finansinės prielaidos'!H32)</f>
        <v>0</v>
      </c>
      <c r="I22" s="20">
        <f>IF('3. Finansinės prielaidos'!I32="","",'3. Finansinės prielaidos'!I32)</f>
        <v>0</v>
      </c>
      <c r="J22" s="20">
        <f>IF('3. Finansinės prielaidos'!J32="","",'3. Finansinės prielaidos'!J32)</f>
        <v>0</v>
      </c>
      <c r="K22" s="20">
        <f>IF('3. Finansinės prielaidos'!K32="","",'3. Finansinės prielaidos'!K32)</f>
        <v>0</v>
      </c>
      <c r="L22" s="20">
        <f>IF('3. Finansinės prielaidos'!L32="","",'3. Finansinės prielaidos'!L32)</f>
        <v>0</v>
      </c>
      <c r="M22" s="2"/>
      <c r="N22" s="2"/>
      <c r="O22" s="2"/>
      <c r="P22" s="2"/>
      <c r="Q22" s="2"/>
      <c r="R22" s="2"/>
      <c r="S22" s="2"/>
      <c r="T22" s="2"/>
    </row>
    <row r="23" spans="1:20">
      <c r="A23" s="22">
        <v>14</v>
      </c>
      <c r="B23" s="19" t="s">
        <v>141</v>
      </c>
      <c r="C23" s="20" cm="1">
        <f t="array" ref="C23">SUMPRODUCT('4. Metinis CAPEX'!F$9:F$28,IFERROR(('2. Investicijos'!$I$5:$I$24+'2. Investicijos'!$J$5:$J$24+'2. Investicijos'!$K$5:$K$24+'2. Investicijos'!$L$5:$L$24)/'2. Investicijos'!$H$5:$H$24,0))</f>
        <v>0</v>
      </c>
      <c r="D23" s="20" cm="1">
        <f t="array" ref="D23">SUMPRODUCT('4. Metinis CAPEX'!G$9:G$28,IFERROR(('2. Investicijos'!$I$5:$I$24+'2. Investicijos'!$J$5:$J$24+'2. Investicijos'!$K$5:$K$24+'2. Investicijos'!$L$5:$L$24)/'2. Investicijos'!$H$5:$H$24,0))</f>
        <v>0</v>
      </c>
      <c r="E23" s="20" cm="1">
        <f t="array" ref="E23">SUMPRODUCT('4. Metinis CAPEX'!H$9:H$28,IFERROR(('2. Investicijos'!$I$5:$I$24+'2. Investicijos'!$J$5:$J$24+'2. Investicijos'!$K$5:$K$24+'2. Investicijos'!$L$5:$L$24)/'2. Investicijos'!$H$5:$H$24,0))</f>
        <v>0</v>
      </c>
      <c r="F23" s="20" cm="1">
        <f t="array" ref="F23">SUMPRODUCT('4. Metinis CAPEX'!I$9:I$28,IFERROR(('2. Investicijos'!$I$5:$I$24+'2. Investicijos'!$J$5:$J$24+'2. Investicijos'!$K$5:$K$24+'2. Investicijos'!$L$5:$L$24)/'2. Investicijos'!$H$5:$H$24,0))</f>
        <v>0</v>
      </c>
      <c r="G23" s="20" cm="1">
        <f t="array" ref="G23">SUMPRODUCT('4. Metinis CAPEX'!J$9:J$28,IFERROR(('2. Investicijos'!$I$5:$I$24+'2. Investicijos'!$J$5:$J$24+'2. Investicijos'!$K$5:$K$24+'2. Investicijos'!$L$5:$L$24)/'2. Investicijos'!$H$5:$H$24,0))</f>
        <v>0</v>
      </c>
      <c r="H23" s="20" cm="1">
        <f t="array" ref="H23">SUMPRODUCT('4. Metinis CAPEX'!K$9:K$28,IFERROR(('2. Investicijos'!$I$5:$I$24+'2. Investicijos'!$J$5:$J$24+'2. Investicijos'!$K$5:$K$24+'2. Investicijos'!$L$5:$L$24)/'2. Investicijos'!$H$5:$H$24,0))</f>
        <v>0</v>
      </c>
      <c r="I23" s="20" cm="1">
        <f t="array" ref="I23">SUMPRODUCT('4. Metinis CAPEX'!L$9:L$28,IFERROR(('2. Investicijos'!$I$5:$I$24+'2. Investicijos'!$J$5:$J$24+'2. Investicijos'!$K$5:$K$24+'2. Investicijos'!$L$5:$L$24)/'2. Investicijos'!$H$5:$H$24,0))</f>
        <v>0</v>
      </c>
      <c r="J23" s="20" cm="1">
        <f t="array" ref="J23">SUMPRODUCT('4. Metinis CAPEX'!M$9:M$28,IFERROR(('2. Investicijos'!$I$5:$I$24+'2. Investicijos'!$J$5:$J$24+'2. Investicijos'!$K$5:$K$24+'2. Investicijos'!$L$5:$L$24)/'2. Investicijos'!$H$5:$H$24,0))</f>
        <v>0</v>
      </c>
      <c r="K23" s="20" cm="1">
        <f t="array" ref="K23">SUMPRODUCT('4. Metinis CAPEX'!N$9:N$28,IFERROR(('2. Investicijos'!$I$5:$I$24+'2. Investicijos'!$J$5:$J$24+'2. Investicijos'!$K$5:$K$24+'2. Investicijos'!$L$5:$L$24)/'2. Investicijos'!$H$5:$H$24,0))</f>
        <v>0</v>
      </c>
      <c r="L23" s="20" cm="1">
        <f t="array" ref="L23">SUMPRODUCT('4. Metinis CAPEX'!O$9:O$28,IFERROR(('2. Investicijos'!$I$5:$I$24+'2. Investicijos'!$J$5:$J$24+'2. Investicijos'!$K$5:$K$24+'2. Investicijos'!$L$5:$L$24)/'2. Investicijos'!$H$5:$H$24,0))</f>
        <v>0</v>
      </c>
      <c r="M23" s="2"/>
      <c r="N23" s="2"/>
      <c r="O23" s="2"/>
      <c r="P23" s="2"/>
      <c r="Q23" s="2"/>
      <c r="R23" s="2"/>
      <c r="S23" s="2"/>
      <c r="T23" s="2"/>
    </row>
    <row r="24" spans="1:20">
      <c r="A24" s="33">
        <v>15</v>
      </c>
      <c r="B24" s="17" t="s">
        <v>142</v>
      </c>
      <c r="C24" s="20">
        <f>'4. Metinis CAPEX'!F5</f>
        <v>0</v>
      </c>
      <c r="D24" s="20">
        <f>'4. Metinis CAPEX'!G5</f>
        <v>0</v>
      </c>
      <c r="E24" s="20">
        <f>'4. Metinis CAPEX'!H5</f>
        <v>0</v>
      </c>
      <c r="F24" s="20">
        <f>'4. Metinis CAPEX'!I5</f>
        <v>0</v>
      </c>
      <c r="G24" s="20">
        <f>'4. Metinis CAPEX'!J5</f>
        <v>0</v>
      </c>
      <c r="H24" s="20">
        <f>'4. Metinis CAPEX'!K5</f>
        <v>0</v>
      </c>
      <c r="I24" s="20">
        <f>'4. Metinis CAPEX'!L5</f>
        <v>0</v>
      </c>
      <c r="J24" s="20">
        <f>'4. Metinis CAPEX'!M5</f>
        <v>0</v>
      </c>
      <c r="K24" s="20">
        <f>'4. Metinis CAPEX'!N5</f>
        <v>0</v>
      </c>
      <c r="L24" s="20">
        <f>'4. Metinis CAPEX'!O5</f>
        <v>0</v>
      </c>
      <c r="M24" s="2"/>
      <c r="N24" s="2"/>
      <c r="O24" s="2"/>
      <c r="P24" s="2"/>
      <c r="Q24" s="2"/>
      <c r="R24" s="2"/>
      <c r="S24" s="2"/>
      <c r="T24" s="2"/>
    </row>
    <row r="25" spans="1:20">
      <c r="A25" s="38">
        <v>16</v>
      </c>
      <c r="B25" s="14" t="s">
        <v>157</v>
      </c>
      <c r="C25" s="39">
        <f>IF(OR(C17="",C18=""),"",C17+C18)</f>
        <v>0</v>
      </c>
      <c r="D25" s="39" cm="1">
        <f t="array" ref="D25">IF(OR(D17="",D18=""),"",D17+D18+MAX(0,-C27)*IFERROR(SUMPRODUCT(IF('2. Investicijos'!$N$5:$N$24&gt;('2. Investicijos'!$H$5:$H$24*$C$6),'2. Investicijos'!$N$5:$N$24-('2. Investicijos'!$H$5:$H$24*$C$6),0),'2. Investicijos'!$O$5:$O$24/100)/SUM(IF('2. Investicijos'!$N$5:$N$24&gt;('2. Investicijos'!$H$5:$H$24*$C$6),'2. Investicijos'!$N$5:$N$24-('2. Investicijos'!$H$5:$H$24*$C$6),0)),0))</f>
        <v>0</v>
      </c>
      <c r="E25" s="39" cm="1">
        <f t="array" ref="E25">IF(OR(E17="",E18=""),"",E17+E18+MAX(0,-D27)*IFERROR(SUMPRODUCT(IF('2. Investicijos'!$N$5:$N$24&gt;('2. Investicijos'!$H$5:$H$24*$C$6),'2. Investicijos'!$N$5:$N$24-('2. Investicijos'!$H$5:$H$24*$C$6),0),'2. Investicijos'!$O$5:$O$24/100)/SUM(IF('2. Investicijos'!$N$5:$N$24&gt;('2. Investicijos'!$H$5:$H$24*$C$6),'2. Investicijos'!$N$5:$N$24-('2. Investicijos'!$H$5:$H$24*$C$6),0)),0))</f>
        <v>0</v>
      </c>
      <c r="F25" s="39" cm="1">
        <f t="array" ref="F25">IF(OR(F17="",F18=""),"",F17+F18+MAX(0,-E27)*IFERROR(SUMPRODUCT(IF('2. Investicijos'!$N$5:$N$24&gt;('2. Investicijos'!$H$5:$H$24*$C$6),'2. Investicijos'!$N$5:$N$24-('2. Investicijos'!$H$5:$H$24*$C$6),0),'2. Investicijos'!$O$5:$O$24/100)/SUM(IF('2. Investicijos'!$N$5:$N$24&gt;('2. Investicijos'!$H$5:$H$24*$C$6),'2. Investicijos'!$N$5:$N$24-('2. Investicijos'!$H$5:$H$24*$C$6),0)),0))</f>
        <v>0</v>
      </c>
      <c r="G25" s="39" cm="1">
        <f t="array" ref="G25">IF(OR(G17="",G18=""),"",G17+G18+MAX(0,-F27)*IFERROR(SUMPRODUCT(IF('2. Investicijos'!$N$5:$N$24&gt;('2. Investicijos'!$H$5:$H$24*$C$6),'2. Investicijos'!$N$5:$N$24-('2. Investicijos'!$H$5:$H$24*$C$6),0),'2. Investicijos'!$O$5:$O$24/100)/SUM(IF('2. Investicijos'!$N$5:$N$24&gt;('2. Investicijos'!$H$5:$H$24*$C$6),'2. Investicijos'!$N$5:$N$24-('2. Investicijos'!$H$5:$H$24*$C$6),0)),0))</f>
        <v>0</v>
      </c>
      <c r="H25" s="39" cm="1">
        <f t="array" ref="H25">IF(OR(H17="",H18=""),"",H17+H18+MAX(0,-G27)*IFERROR(SUMPRODUCT(IF('2. Investicijos'!$N$5:$N$24&gt;('2. Investicijos'!$H$5:$H$24*$C$6),'2. Investicijos'!$N$5:$N$24-('2. Investicijos'!$H$5:$H$24*$C$6),0),'2. Investicijos'!$O$5:$O$24/100)/SUM(IF('2. Investicijos'!$N$5:$N$24&gt;('2. Investicijos'!$H$5:$H$24*$C$6),'2. Investicijos'!$N$5:$N$24-('2. Investicijos'!$H$5:$H$24*$C$6),0)),0))</f>
        <v>0</v>
      </c>
      <c r="I25" s="39" cm="1">
        <f t="array" ref="I25">IF(OR(I17="",I18=""),"",I17+I18+MAX(0,-H27)*IFERROR(SUMPRODUCT(IF('2. Investicijos'!$N$5:$N$24&gt;('2. Investicijos'!$H$5:$H$24*$C$6),'2. Investicijos'!$N$5:$N$24-('2. Investicijos'!$H$5:$H$24*$C$6),0),'2. Investicijos'!$O$5:$O$24/100)/SUM(IF('2. Investicijos'!$N$5:$N$24&gt;('2. Investicijos'!$H$5:$H$24*$C$6),'2. Investicijos'!$N$5:$N$24-('2. Investicijos'!$H$5:$H$24*$C$6),0)),0))</f>
        <v>0</v>
      </c>
      <c r="J25" s="39" cm="1">
        <f t="array" ref="J25">IF(OR(J17="",J18=""),"",J17+J18+MAX(0,-I27)*IFERROR(SUMPRODUCT(IF('2. Investicijos'!$N$5:$N$24&gt;('2. Investicijos'!$H$5:$H$24*$C$6),'2. Investicijos'!$N$5:$N$24-('2. Investicijos'!$H$5:$H$24*$C$6),0),'2. Investicijos'!$O$5:$O$24/100)/SUM(IF('2. Investicijos'!$N$5:$N$24&gt;('2. Investicijos'!$H$5:$H$24*$C$6),'2. Investicijos'!$N$5:$N$24-('2. Investicijos'!$H$5:$H$24*$C$6),0)),0))</f>
        <v>0</v>
      </c>
      <c r="K25" s="39" cm="1">
        <f t="array" ref="K25">IF(OR(K17="",K18=""),"",K17+K18+MAX(0,-J27)*IFERROR(SUMPRODUCT(IF('2. Investicijos'!$N$5:$N$24&gt;('2. Investicijos'!$H$5:$H$24*$C$6),'2. Investicijos'!$N$5:$N$24-('2. Investicijos'!$H$5:$H$24*$C$6),0),'2. Investicijos'!$O$5:$O$24/100)/SUM(IF('2. Investicijos'!$N$5:$N$24&gt;('2. Investicijos'!$H$5:$H$24*$C$6),'2. Investicijos'!$N$5:$N$24-('2. Investicijos'!$H$5:$H$24*$C$6),0)),0))</f>
        <v>0</v>
      </c>
      <c r="L25" s="39" cm="1">
        <f t="array" ref="L25">IF(OR(L17="",L18=""),"",L17+L18+MAX(0,-K27)*IFERROR(SUMPRODUCT(IF('2. Investicijos'!$N$5:$N$24&gt;('2. Investicijos'!$H$5:$H$24*$C$6),'2. Investicijos'!$N$5:$N$24-('2. Investicijos'!$H$5:$H$24*$C$6),0),'2. Investicijos'!$O$5:$O$24/100)/SUM(IF('2. Investicijos'!$N$5:$N$24&gt;('2. Investicijos'!$H$5:$H$24*$C$6),'2. Investicijos'!$N$5:$N$24-('2. Investicijos'!$H$5:$H$24*$C$6),0)),0))</f>
        <v>0</v>
      </c>
      <c r="M25" s="2"/>
      <c r="N25" s="2"/>
      <c r="O25" s="2"/>
      <c r="P25" s="2"/>
      <c r="Q25" s="2"/>
      <c r="R25" s="2"/>
      <c r="S25" s="2"/>
      <c r="T25" s="2"/>
    </row>
    <row r="26" spans="1:20">
      <c r="A26" s="33">
        <v>17</v>
      </c>
      <c r="B26" s="17" t="s">
        <v>143</v>
      </c>
      <c r="C26" s="20">
        <f t="shared" ref="C26:L26" si="3">IF(C24="","",IFERROR(C11,0)+IFERROR(C12,0)+IFERROR(C13,0)+IFERROR(C16,0)+IFERROR(C23,0)-C24-IFERROR(C25,0))</f>
        <v>0</v>
      </c>
      <c r="D26" s="20">
        <f t="shared" si="3"/>
        <v>0</v>
      </c>
      <c r="E26" s="20">
        <f t="shared" si="3"/>
        <v>0</v>
      </c>
      <c r="F26" s="20">
        <f t="shared" si="3"/>
        <v>0</v>
      </c>
      <c r="G26" s="20">
        <f t="shared" si="3"/>
        <v>0</v>
      </c>
      <c r="H26" s="20">
        <f t="shared" si="3"/>
        <v>0</v>
      </c>
      <c r="I26" s="20">
        <f t="shared" si="3"/>
        <v>0</v>
      </c>
      <c r="J26" s="20">
        <f t="shared" si="3"/>
        <v>0</v>
      </c>
      <c r="K26" s="20">
        <f t="shared" si="3"/>
        <v>0</v>
      </c>
      <c r="L26" s="20">
        <f t="shared" si="3"/>
        <v>0</v>
      </c>
      <c r="M26" s="2"/>
      <c r="N26" s="2"/>
      <c r="O26" s="2"/>
      <c r="P26" s="2"/>
      <c r="Q26" s="2"/>
      <c r="R26" s="2"/>
      <c r="S26" s="2"/>
      <c r="T26" s="2"/>
    </row>
    <row r="27" spans="1:20">
      <c r="A27" s="35">
        <v>18</v>
      </c>
      <c r="B27" s="36" t="s">
        <v>158</v>
      </c>
      <c r="C27" s="39">
        <f>IF(C21="","",C21+SUM($C$26:C26))</f>
        <v>0</v>
      </c>
      <c r="D27" s="39">
        <f>IF(D21="","",D21+SUM($C$26:D26))</f>
        <v>0</v>
      </c>
      <c r="E27" s="39">
        <f>IF(E21="","",E21+SUM($C$26:E26))</f>
        <v>0</v>
      </c>
      <c r="F27" s="39">
        <f>IF(F21="","",F21+SUM($C$26:F26))</f>
        <v>0</v>
      </c>
      <c r="G27" s="39">
        <f>IF(G21="","",G21+SUM($C$26:G26))</f>
        <v>0</v>
      </c>
      <c r="H27" s="39">
        <f>IF(H21="","",H21+SUM($C$26:H26))</f>
        <v>0</v>
      </c>
      <c r="I27" s="39">
        <f>IF(I21="","",I21+SUM($C$26:I26))</f>
        <v>0</v>
      </c>
      <c r="J27" s="39">
        <f>IF(J21="","",J21+SUM($C$26:J26))</f>
        <v>0</v>
      </c>
      <c r="K27" s="39">
        <f>IF(K21="","",K21+SUM($C$26:K26))</f>
        <v>0</v>
      </c>
      <c r="L27" s="39">
        <f>IF(L21="","",L21+SUM($C$26:L26))</f>
        <v>0</v>
      </c>
      <c r="M27" s="2"/>
      <c r="N27" s="2"/>
      <c r="O27" s="2"/>
      <c r="P27" s="2"/>
      <c r="Q27" s="2"/>
      <c r="R27" s="2"/>
      <c r="S27" s="2"/>
      <c r="T27" s="2"/>
    </row>
    <row r="28" spans="1:20">
      <c r="A28" s="35">
        <v>19</v>
      </c>
      <c r="B28" s="36" t="s">
        <v>132</v>
      </c>
      <c r="C28" s="39">
        <f t="shared" ref="C28:L28" si="4">IF(OR(C20="",C27=""),"",C20-C27)</f>
        <v>0</v>
      </c>
      <c r="D28" s="39">
        <f t="shared" si="4"/>
        <v>0</v>
      </c>
      <c r="E28" s="39">
        <f t="shared" si="4"/>
        <v>0</v>
      </c>
      <c r="F28" s="39">
        <f t="shared" si="4"/>
        <v>0</v>
      </c>
      <c r="G28" s="39">
        <f t="shared" si="4"/>
        <v>0</v>
      </c>
      <c r="H28" s="39">
        <f t="shared" si="4"/>
        <v>0</v>
      </c>
      <c r="I28" s="39">
        <f t="shared" si="4"/>
        <v>0</v>
      </c>
      <c r="J28" s="39">
        <f t="shared" si="4"/>
        <v>0</v>
      </c>
      <c r="K28" s="39">
        <f t="shared" si="4"/>
        <v>0</v>
      </c>
      <c r="L28" s="39">
        <f t="shared" si="4"/>
        <v>0</v>
      </c>
      <c r="M28" s="2"/>
      <c r="N28" s="2"/>
      <c r="O28" s="2"/>
      <c r="P28" s="2"/>
      <c r="Q28" s="2"/>
      <c r="R28" s="2"/>
      <c r="S28" s="2"/>
      <c r="T28" s="2"/>
    </row>
    <row r="29" spans="1:20">
      <c r="A29" s="35">
        <v>20</v>
      </c>
      <c r="B29" s="36" t="s">
        <v>308</v>
      </c>
      <c r="C29" s="48" t="str">
        <f t="shared" ref="C29:L29" si="5">IF(OR(C28="",C14="",C14&lt;=0),"",C28/C14)</f>
        <v/>
      </c>
      <c r="D29" s="48" t="str">
        <f t="shared" si="5"/>
        <v/>
      </c>
      <c r="E29" s="48" t="str">
        <f t="shared" si="5"/>
        <v/>
      </c>
      <c r="F29" s="48" t="str">
        <f t="shared" si="5"/>
        <v/>
      </c>
      <c r="G29" s="48" t="str">
        <f t="shared" si="5"/>
        <v/>
      </c>
      <c r="H29" s="48" t="str">
        <f t="shared" si="5"/>
        <v/>
      </c>
      <c r="I29" s="48" t="str">
        <f t="shared" si="5"/>
        <v/>
      </c>
      <c r="J29" s="48" t="str">
        <f t="shared" si="5"/>
        <v/>
      </c>
      <c r="K29" s="48" t="str">
        <f t="shared" si="5"/>
        <v/>
      </c>
      <c r="L29" s="48" t="str">
        <f t="shared" si="5"/>
        <v/>
      </c>
      <c r="M29" s="2"/>
      <c r="N29" s="2"/>
      <c r="O29" s="2"/>
      <c r="P29" s="2"/>
      <c r="Q29" s="2"/>
      <c r="R29" s="2"/>
      <c r="S29" s="2"/>
      <c r="T29" s="2"/>
    </row>
    <row r="30" spans="1:20">
      <c r="A30" s="35">
        <v>21</v>
      </c>
      <c r="B30" s="36" t="s">
        <v>24</v>
      </c>
      <c r="C30" s="49" t="str">
        <f t="shared" ref="C30:L30" si="6">IF(OR(C14="",C22="",C14&lt;=0),"",IF(C22+IFERROR(C25,0)=0,"",C14/(C22+IFERROR(C25,0))))</f>
        <v/>
      </c>
      <c r="D30" s="49" t="str">
        <f t="shared" si="6"/>
        <v/>
      </c>
      <c r="E30" s="49" t="str">
        <f t="shared" si="6"/>
        <v/>
      </c>
      <c r="F30" s="49" t="str">
        <f t="shared" si="6"/>
        <v/>
      </c>
      <c r="G30" s="49" t="str">
        <f t="shared" si="6"/>
        <v/>
      </c>
      <c r="H30" s="49" t="str">
        <f t="shared" si="6"/>
        <v/>
      </c>
      <c r="I30" s="49" t="str">
        <f t="shared" si="6"/>
        <v/>
      </c>
      <c r="J30" s="49" t="str">
        <f t="shared" si="6"/>
        <v/>
      </c>
      <c r="K30" s="49" t="str">
        <f t="shared" si="6"/>
        <v/>
      </c>
      <c r="L30" s="49" t="str">
        <f t="shared" si="6"/>
        <v/>
      </c>
      <c r="M30" s="2"/>
      <c r="N30" s="2"/>
      <c r="O30" s="2"/>
      <c r="P30" s="2"/>
      <c r="Q30" s="2"/>
      <c r="R30" s="2"/>
      <c r="S30" s="2"/>
      <c r="T30" s="2"/>
    </row>
    <row r="31" spans="1:20">
      <c r="A31" s="35">
        <v>22</v>
      </c>
      <c r="B31" s="36" t="s">
        <v>25</v>
      </c>
      <c r="C31" s="36" t="str">
        <f t="shared" ref="C31:L31" si="7">IF(OR(C29="",C30=""),"",IF(AND(C29&lt;=5.5,C30&gt;=1.2),"ATITINKA","NEATITINKA"))</f>
        <v/>
      </c>
      <c r="D31" s="36" t="str">
        <f t="shared" si="7"/>
        <v/>
      </c>
      <c r="E31" s="36" t="str">
        <f t="shared" si="7"/>
        <v/>
      </c>
      <c r="F31" s="36" t="str">
        <f t="shared" si="7"/>
        <v/>
      </c>
      <c r="G31" s="36" t="str">
        <f t="shared" si="7"/>
        <v/>
      </c>
      <c r="H31" s="36" t="str">
        <f t="shared" si="7"/>
        <v/>
      </c>
      <c r="I31" s="36" t="str">
        <f t="shared" si="7"/>
        <v/>
      </c>
      <c r="J31" s="36" t="str">
        <f t="shared" si="7"/>
        <v/>
      </c>
      <c r="K31" s="36" t="str">
        <f t="shared" si="7"/>
        <v/>
      </c>
      <c r="L31" s="36" t="str">
        <f t="shared" si="7"/>
        <v/>
      </c>
      <c r="M31" s="2"/>
      <c r="N31" s="2"/>
      <c r="O31" s="2"/>
      <c r="P31" s="2"/>
      <c r="Q31" s="2"/>
      <c r="R31" s="2"/>
      <c r="S31" s="2"/>
      <c r="T31" s="2"/>
    </row>
    <row r="32" spans="1:20">
      <c r="A32" s="2"/>
      <c r="B32" s="2"/>
      <c r="C32" s="2"/>
      <c r="D32" s="2"/>
      <c r="E32" s="2"/>
      <c r="F32" s="2"/>
      <c r="G32" s="2"/>
      <c r="H32" s="2"/>
      <c r="I32" s="2"/>
      <c r="J32" s="2"/>
      <c r="K32" s="2"/>
      <c r="L32" s="2"/>
      <c r="M32" s="2"/>
      <c r="N32" s="2"/>
      <c r="O32" s="2"/>
      <c r="P32" s="2"/>
      <c r="Q32" s="2"/>
      <c r="R32" s="2"/>
      <c r="S32" s="2"/>
      <c r="T32" s="2"/>
    </row>
    <row r="33" spans="1:20" ht="24">
      <c r="A33" s="8" t="s">
        <v>41</v>
      </c>
      <c r="B33" s="8" t="s">
        <v>42</v>
      </c>
      <c r="C33" s="8" t="s">
        <v>43</v>
      </c>
      <c r="D33" s="8"/>
      <c r="E33" s="8" t="s">
        <v>65</v>
      </c>
      <c r="F33" s="8" t="s">
        <v>19</v>
      </c>
      <c r="G33" s="8" t="s">
        <v>26</v>
      </c>
      <c r="H33" s="2"/>
      <c r="I33" s="2"/>
      <c r="J33" s="2"/>
      <c r="K33" s="2"/>
      <c r="L33" s="2"/>
      <c r="M33" s="2"/>
      <c r="N33" s="2"/>
      <c r="O33" s="2"/>
      <c r="P33" s="2"/>
      <c r="Q33" s="2"/>
      <c r="R33" s="2"/>
      <c r="S33" s="2"/>
      <c r="T33" s="2"/>
    </row>
    <row r="34" spans="1:20" ht="24">
      <c r="A34" s="17" t="s">
        <v>308</v>
      </c>
      <c r="B34" s="19">
        <v>5.5</v>
      </c>
      <c r="C34" s="19" t="s">
        <v>277</v>
      </c>
      <c r="D34" s="19"/>
      <c r="E34" s="19" t="s">
        <v>209</v>
      </c>
      <c r="F34" s="50">
        <f>SUM(F42:F61)</f>
        <v>0</v>
      </c>
      <c r="G34" s="19" t="s">
        <v>210</v>
      </c>
      <c r="H34" s="2"/>
      <c r="I34" s="2"/>
      <c r="J34" s="2"/>
      <c r="K34" s="2"/>
      <c r="L34" s="2"/>
      <c r="M34" s="2"/>
      <c r="N34" s="2"/>
      <c r="O34" s="2"/>
      <c r="P34" s="2"/>
      <c r="Q34" s="2"/>
      <c r="R34" s="2"/>
      <c r="S34" s="2"/>
      <c r="T34" s="2"/>
    </row>
    <row r="35" spans="1:20">
      <c r="A35" s="19" t="s">
        <v>24</v>
      </c>
      <c r="B35" s="19">
        <v>1.2</v>
      </c>
      <c r="C35" s="19" t="s">
        <v>278</v>
      </c>
      <c r="D35" s="19"/>
      <c r="E35" s="19" t="s">
        <v>67</v>
      </c>
      <c r="F35" s="46" t="str">
        <f>IF(SUM(C42:C61)=0,"",F34/SUM(C42:C61))</f>
        <v/>
      </c>
      <c r="G35" s="19" t="s">
        <v>68</v>
      </c>
      <c r="H35" s="2"/>
      <c r="I35" s="2"/>
      <c r="J35" s="2"/>
      <c r="K35" s="2"/>
      <c r="L35" s="2"/>
      <c r="M35" s="2"/>
      <c r="N35" s="2"/>
      <c r="O35" s="2"/>
      <c r="P35" s="2"/>
      <c r="Q35" s="2"/>
      <c r="R35" s="2"/>
      <c r="S35" s="2"/>
      <c r="T35" s="2"/>
    </row>
    <row r="36" spans="1:20">
      <c r="A36" s="19" t="s">
        <v>207</v>
      </c>
      <c r="B36" s="46">
        <f>$C$6</f>
        <v>0</v>
      </c>
      <c r="C36" s="19" t="s">
        <v>208</v>
      </c>
      <c r="D36" s="19"/>
      <c r="E36" s="19" t="s">
        <v>53</v>
      </c>
      <c r="F36" s="19" t="str">
        <f>B90</f>
        <v/>
      </c>
      <c r="G36" s="19" t="s">
        <v>174</v>
      </c>
      <c r="H36" s="2"/>
      <c r="I36" s="2"/>
      <c r="J36" s="2"/>
      <c r="K36" s="2"/>
      <c r="L36" s="2"/>
      <c r="M36" s="2"/>
      <c r="N36" s="2"/>
      <c r="O36" s="2"/>
      <c r="P36" s="2"/>
      <c r="Q36" s="2"/>
      <c r="R36" s="2"/>
      <c r="S36" s="2"/>
      <c r="T36" s="2"/>
    </row>
    <row r="37" spans="1:20">
      <c r="A37" s="19" t="s">
        <v>71</v>
      </c>
      <c r="B37" s="19" t="s">
        <v>72</v>
      </c>
      <c r="C37" s="19" t="s">
        <v>73</v>
      </c>
      <c r="D37" s="19"/>
      <c r="E37" s="19" t="s">
        <v>44</v>
      </c>
      <c r="F37" s="19" t="str">
        <f>B89</f>
        <v/>
      </c>
      <c r="G37" s="19" t="s">
        <v>175</v>
      </c>
      <c r="H37" s="2"/>
      <c r="I37" s="2"/>
      <c r="J37" s="2"/>
      <c r="K37" s="2"/>
      <c r="L37" s="2"/>
      <c r="M37" s="2"/>
      <c r="N37" s="2"/>
      <c r="O37" s="2"/>
      <c r="P37" s="2"/>
      <c r="Q37" s="2"/>
      <c r="R37" s="2"/>
      <c r="S37" s="2"/>
      <c r="T37" s="2"/>
    </row>
    <row r="38" spans="1:20">
      <c r="A38" s="19"/>
      <c r="B38" s="19"/>
      <c r="C38" s="19"/>
      <c r="D38" s="19"/>
      <c r="E38" s="19" t="s">
        <v>51</v>
      </c>
      <c r="F38" s="19" t="str">
        <f>B91</f>
        <v/>
      </c>
      <c r="G38" s="19" t="s">
        <v>176</v>
      </c>
      <c r="H38" s="2"/>
      <c r="I38" s="2"/>
      <c r="J38" s="2"/>
      <c r="K38" s="2"/>
      <c r="L38" s="2"/>
      <c r="M38" s="2"/>
      <c r="N38" s="2"/>
      <c r="O38" s="2"/>
      <c r="P38" s="2"/>
      <c r="Q38" s="2"/>
      <c r="R38" s="2"/>
      <c r="S38" s="2"/>
      <c r="T38" s="2"/>
    </row>
    <row r="39" spans="1:20">
      <c r="A39" s="2"/>
      <c r="B39" s="2"/>
      <c r="C39" s="2"/>
      <c r="D39" s="2"/>
      <c r="E39" s="2"/>
      <c r="F39" s="2"/>
      <c r="G39" s="2"/>
      <c r="H39" s="2"/>
      <c r="I39" s="2"/>
      <c r="J39" s="2"/>
      <c r="K39" s="2"/>
      <c r="L39" s="2"/>
      <c r="M39" s="2"/>
      <c r="N39" s="2"/>
      <c r="O39" s="2"/>
      <c r="P39" s="2"/>
      <c r="Q39" s="2"/>
      <c r="R39" s="2"/>
      <c r="S39" s="2"/>
      <c r="T39" s="2"/>
    </row>
    <row r="40" spans="1:20" ht="14.5">
      <c r="A40" s="138" t="s">
        <v>214</v>
      </c>
      <c r="B40" s="138"/>
      <c r="C40" s="138"/>
      <c r="D40" s="138"/>
      <c r="E40" s="138"/>
      <c r="F40" s="138"/>
      <c r="G40" s="138"/>
      <c r="H40" s="2"/>
      <c r="I40" s="2"/>
      <c r="J40" s="2"/>
      <c r="K40" s="2"/>
      <c r="L40" s="2"/>
      <c r="M40" s="2"/>
      <c r="N40" s="2"/>
      <c r="O40" s="2"/>
      <c r="P40" s="2"/>
      <c r="Q40" s="2"/>
      <c r="R40" s="2"/>
      <c r="S40" s="2"/>
      <c r="T40" s="2"/>
    </row>
    <row r="41" spans="1:20" ht="24">
      <c r="A41" s="8" t="s">
        <v>1</v>
      </c>
      <c r="B41" s="8" t="s">
        <v>2</v>
      </c>
      <c r="C41" s="8" t="s">
        <v>8</v>
      </c>
      <c r="D41" s="8" t="s">
        <v>7</v>
      </c>
      <c r="E41" s="8" t="s">
        <v>206</v>
      </c>
      <c r="F41" s="8" t="s">
        <v>76</v>
      </c>
      <c r="G41" s="8" t="s">
        <v>77</v>
      </c>
      <c r="H41" s="2"/>
      <c r="I41" s="2"/>
      <c r="J41" s="2"/>
      <c r="K41" s="2"/>
      <c r="L41" s="2"/>
      <c r="M41" s="2"/>
      <c r="N41" s="2"/>
      <c r="O41" s="2"/>
      <c r="P41" s="2"/>
      <c r="Q41" s="2"/>
      <c r="R41" s="2"/>
      <c r="S41" s="2"/>
      <c r="T41" s="2"/>
    </row>
    <row r="42" spans="1:20">
      <c r="A42" s="19" t="str">
        <f>'2. Investicijos'!A5</f>
        <v>1.</v>
      </c>
      <c r="B42" s="19" t="str">
        <f>IF('2. Investicijos'!B5="","",'2. Investicijos'!B5)</f>
        <v/>
      </c>
      <c r="C42" s="51" t="str">
        <f>IF('2. Investicijos'!H5="","",'2. Investicijos'!H5)</f>
        <v/>
      </c>
      <c r="D42" s="47" t="str">
        <f>IF('2. Investicijos'!G5="","",'2. Investicijos'!G5)</f>
        <v/>
      </c>
      <c r="E42" s="52" t="str">
        <f t="shared" ref="E42:E61" si="8">IF(C42="","",$C$6)</f>
        <v/>
      </c>
      <c r="F42" s="51" t="str">
        <f t="shared" ref="F42:F61" si="9">IF(C42="","",C42*E42)</f>
        <v/>
      </c>
      <c r="G42" s="19">
        <f t="shared" ref="G42:G61" si="10">$C$5</f>
        <v>1</v>
      </c>
      <c r="H42" s="2"/>
      <c r="I42" s="2"/>
      <c r="J42" s="2"/>
      <c r="K42" s="2"/>
      <c r="L42" s="2"/>
      <c r="M42" s="2"/>
      <c r="N42" s="2"/>
      <c r="O42" s="2"/>
      <c r="P42" s="2"/>
      <c r="Q42" s="2"/>
      <c r="R42" s="2"/>
      <c r="S42" s="2"/>
      <c r="T42" s="2"/>
    </row>
    <row r="43" spans="1:20">
      <c r="A43" s="19" t="str">
        <f>'2. Investicijos'!A6</f>
        <v>2.</v>
      </c>
      <c r="B43" s="19" t="str">
        <f>IF('2. Investicijos'!B6="","",'2. Investicijos'!B6)</f>
        <v/>
      </c>
      <c r="C43" s="51" t="str">
        <f>IF('2. Investicijos'!H6="","",'2. Investicijos'!H6)</f>
        <v/>
      </c>
      <c r="D43" s="47" t="str">
        <f>IF('2. Investicijos'!G6="","",'2. Investicijos'!G6)</f>
        <v/>
      </c>
      <c r="E43" s="52" t="str">
        <f t="shared" si="8"/>
        <v/>
      </c>
      <c r="F43" s="51" t="str">
        <f t="shared" si="9"/>
        <v/>
      </c>
      <c r="G43" s="19">
        <f t="shared" si="10"/>
        <v>1</v>
      </c>
      <c r="H43" s="2"/>
      <c r="I43" s="2"/>
      <c r="J43" s="2"/>
      <c r="K43" s="2"/>
      <c r="L43" s="2"/>
      <c r="M43" s="2"/>
      <c r="N43" s="2"/>
      <c r="O43" s="2"/>
      <c r="P43" s="2"/>
      <c r="Q43" s="2"/>
      <c r="R43" s="2"/>
      <c r="S43" s="2"/>
      <c r="T43" s="2"/>
    </row>
    <row r="44" spans="1:20">
      <c r="A44" s="19" t="str">
        <f>'2. Investicijos'!A7</f>
        <v>3.</v>
      </c>
      <c r="B44" s="19" t="str">
        <f>IF('2. Investicijos'!B7="","",'2. Investicijos'!B7)</f>
        <v/>
      </c>
      <c r="C44" s="51" t="str">
        <f>IF('2. Investicijos'!H7="","",'2. Investicijos'!H7)</f>
        <v/>
      </c>
      <c r="D44" s="47" t="str">
        <f>IF('2. Investicijos'!G7="","",'2. Investicijos'!G7)</f>
        <v/>
      </c>
      <c r="E44" s="52" t="str">
        <f t="shared" si="8"/>
        <v/>
      </c>
      <c r="F44" s="51" t="str">
        <f t="shared" si="9"/>
        <v/>
      </c>
      <c r="G44" s="19">
        <f t="shared" si="10"/>
        <v>1</v>
      </c>
      <c r="H44" s="2"/>
      <c r="I44" s="2"/>
      <c r="J44" s="2"/>
      <c r="K44" s="2"/>
      <c r="L44" s="2"/>
      <c r="M44" s="2"/>
      <c r="N44" s="2"/>
      <c r="O44" s="2"/>
      <c r="P44" s="2"/>
      <c r="Q44" s="2"/>
      <c r="R44" s="2"/>
      <c r="S44" s="2"/>
      <c r="T44" s="2"/>
    </row>
    <row r="45" spans="1:20">
      <c r="A45" s="19" t="str">
        <f>'2. Investicijos'!A8</f>
        <v>4.</v>
      </c>
      <c r="B45" s="19" t="str">
        <f>IF('2. Investicijos'!B8="","",'2. Investicijos'!B8)</f>
        <v/>
      </c>
      <c r="C45" s="51" t="str">
        <f>IF('2. Investicijos'!H8="","",'2. Investicijos'!H8)</f>
        <v/>
      </c>
      <c r="D45" s="47" t="str">
        <f>IF('2. Investicijos'!G8="","",'2. Investicijos'!G8)</f>
        <v/>
      </c>
      <c r="E45" s="52" t="str">
        <f t="shared" si="8"/>
        <v/>
      </c>
      <c r="F45" s="51" t="str">
        <f t="shared" si="9"/>
        <v/>
      </c>
      <c r="G45" s="19">
        <f t="shared" si="10"/>
        <v>1</v>
      </c>
      <c r="H45" s="2"/>
      <c r="I45" s="2"/>
      <c r="J45" s="2"/>
      <c r="K45" s="2"/>
      <c r="L45" s="2"/>
      <c r="M45" s="2"/>
      <c r="N45" s="2"/>
      <c r="O45" s="2"/>
      <c r="P45" s="2"/>
      <c r="Q45" s="2"/>
      <c r="R45" s="2"/>
      <c r="S45" s="2"/>
      <c r="T45" s="2"/>
    </row>
    <row r="46" spans="1:20">
      <c r="A46" s="19" t="str">
        <f>'2. Investicijos'!A9</f>
        <v>5.</v>
      </c>
      <c r="B46" s="19" t="str">
        <f>IF('2. Investicijos'!B9="","",'2. Investicijos'!B9)</f>
        <v/>
      </c>
      <c r="C46" s="51" t="str">
        <f>IF('2. Investicijos'!H9="","",'2. Investicijos'!H9)</f>
        <v/>
      </c>
      <c r="D46" s="47" t="str">
        <f>IF('2. Investicijos'!G9="","",'2. Investicijos'!G9)</f>
        <v/>
      </c>
      <c r="E46" s="52" t="str">
        <f t="shared" si="8"/>
        <v/>
      </c>
      <c r="F46" s="51" t="str">
        <f t="shared" si="9"/>
        <v/>
      </c>
      <c r="G46" s="19">
        <f t="shared" si="10"/>
        <v>1</v>
      </c>
      <c r="H46" s="2"/>
      <c r="I46" s="2"/>
      <c r="J46" s="2"/>
      <c r="K46" s="2"/>
      <c r="L46" s="2"/>
      <c r="M46" s="2"/>
      <c r="N46" s="2"/>
      <c r="O46" s="2"/>
      <c r="P46" s="2"/>
      <c r="Q46" s="2"/>
      <c r="R46" s="2"/>
      <c r="S46" s="2"/>
      <c r="T46" s="2"/>
    </row>
    <row r="47" spans="1:20">
      <c r="A47" s="19" t="str">
        <f>'2. Investicijos'!A10</f>
        <v>6.</v>
      </c>
      <c r="B47" s="19" t="str">
        <f>IF('2. Investicijos'!B10="","",'2. Investicijos'!B10)</f>
        <v/>
      </c>
      <c r="C47" s="51" t="str">
        <f>IF('2. Investicijos'!H10="","",'2. Investicijos'!H10)</f>
        <v/>
      </c>
      <c r="D47" s="47" t="str">
        <f>IF('2. Investicijos'!G10="","",'2. Investicijos'!G10)</f>
        <v/>
      </c>
      <c r="E47" s="52" t="str">
        <f t="shared" si="8"/>
        <v/>
      </c>
      <c r="F47" s="51" t="str">
        <f t="shared" si="9"/>
        <v/>
      </c>
      <c r="G47" s="19">
        <f t="shared" si="10"/>
        <v>1</v>
      </c>
      <c r="H47" s="2"/>
      <c r="I47" s="2"/>
      <c r="J47" s="2"/>
      <c r="K47" s="2"/>
      <c r="L47" s="2"/>
      <c r="M47" s="2"/>
      <c r="N47" s="2"/>
      <c r="O47" s="2"/>
      <c r="P47" s="2"/>
      <c r="Q47" s="2"/>
      <c r="R47" s="2"/>
      <c r="S47" s="2"/>
      <c r="T47" s="2"/>
    </row>
    <row r="48" spans="1:20">
      <c r="A48" s="19" t="str">
        <f>'2. Investicijos'!A11</f>
        <v>7.</v>
      </c>
      <c r="B48" s="19" t="str">
        <f>IF('2. Investicijos'!B11="","",'2. Investicijos'!B11)</f>
        <v/>
      </c>
      <c r="C48" s="51" t="str">
        <f>IF('2. Investicijos'!H11="","",'2. Investicijos'!H11)</f>
        <v/>
      </c>
      <c r="D48" s="47" t="str">
        <f>IF('2. Investicijos'!G11="","",'2. Investicijos'!G11)</f>
        <v/>
      </c>
      <c r="E48" s="52" t="str">
        <f t="shared" si="8"/>
        <v/>
      </c>
      <c r="F48" s="51" t="str">
        <f t="shared" si="9"/>
        <v/>
      </c>
      <c r="G48" s="19">
        <f t="shared" si="10"/>
        <v>1</v>
      </c>
      <c r="H48" s="2"/>
      <c r="I48" s="2"/>
      <c r="J48" s="2"/>
      <c r="K48" s="2"/>
      <c r="L48" s="2"/>
      <c r="M48" s="2"/>
      <c r="N48" s="2"/>
      <c r="O48" s="2"/>
      <c r="P48" s="2"/>
      <c r="Q48" s="2"/>
      <c r="R48" s="2"/>
      <c r="S48" s="2"/>
      <c r="T48" s="2"/>
    </row>
    <row r="49" spans="1:20">
      <c r="A49" s="19" t="str">
        <f>'2. Investicijos'!A12</f>
        <v>8.</v>
      </c>
      <c r="B49" s="19" t="str">
        <f>IF('2. Investicijos'!B12="","",'2. Investicijos'!B12)</f>
        <v/>
      </c>
      <c r="C49" s="51" t="str">
        <f>IF('2. Investicijos'!H12="","",'2. Investicijos'!H12)</f>
        <v/>
      </c>
      <c r="D49" s="47" t="str">
        <f>IF('2. Investicijos'!G12="","",'2. Investicijos'!G12)</f>
        <v/>
      </c>
      <c r="E49" s="52" t="str">
        <f t="shared" si="8"/>
        <v/>
      </c>
      <c r="F49" s="51" t="str">
        <f t="shared" si="9"/>
        <v/>
      </c>
      <c r="G49" s="19">
        <f t="shared" si="10"/>
        <v>1</v>
      </c>
      <c r="H49" s="2"/>
      <c r="I49" s="2"/>
      <c r="J49" s="2"/>
      <c r="K49" s="2"/>
      <c r="L49" s="2"/>
      <c r="M49" s="2"/>
      <c r="N49" s="2"/>
      <c r="O49" s="2"/>
      <c r="P49" s="2"/>
      <c r="Q49" s="2"/>
      <c r="R49" s="2"/>
      <c r="S49" s="2"/>
      <c r="T49" s="2"/>
    </row>
    <row r="50" spans="1:20">
      <c r="A50" s="19" t="str">
        <f>'2. Investicijos'!A13</f>
        <v>9.</v>
      </c>
      <c r="B50" s="19" t="str">
        <f>IF('2. Investicijos'!B13="","",'2. Investicijos'!B13)</f>
        <v/>
      </c>
      <c r="C50" s="51" t="str">
        <f>IF('2. Investicijos'!H13="","",'2. Investicijos'!H13)</f>
        <v/>
      </c>
      <c r="D50" s="47" t="str">
        <f>IF('2. Investicijos'!G13="","",'2. Investicijos'!G13)</f>
        <v/>
      </c>
      <c r="E50" s="52" t="str">
        <f t="shared" si="8"/>
        <v/>
      </c>
      <c r="F50" s="51" t="str">
        <f t="shared" si="9"/>
        <v/>
      </c>
      <c r="G50" s="19">
        <f t="shared" si="10"/>
        <v>1</v>
      </c>
      <c r="H50" s="2"/>
      <c r="I50" s="2"/>
      <c r="J50" s="2"/>
      <c r="K50" s="2"/>
      <c r="L50" s="2"/>
      <c r="M50" s="2"/>
      <c r="N50" s="2"/>
      <c r="O50" s="2"/>
      <c r="P50" s="2"/>
      <c r="Q50" s="2"/>
      <c r="R50" s="2"/>
      <c r="S50" s="2"/>
      <c r="T50" s="2"/>
    </row>
    <row r="51" spans="1:20">
      <c r="A51" s="19" t="str">
        <f>'2. Investicijos'!A14</f>
        <v>10.</v>
      </c>
      <c r="B51" s="19" t="str">
        <f>IF('2. Investicijos'!B14="","",'2. Investicijos'!B14)</f>
        <v/>
      </c>
      <c r="C51" s="51" t="str">
        <f>IF('2. Investicijos'!H14="","",'2. Investicijos'!H14)</f>
        <v/>
      </c>
      <c r="D51" s="47" t="str">
        <f>IF('2. Investicijos'!G14="","",'2. Investicijos'!G14)</f>
        <v/>
      </c>
      <c r="E51" s="52" t="str">
        <f t="shared" si="8"/>
        <v/>
      </c>
      <c r="F51" s="51" t="str">
        <f t="shared" si="9"/>
        <v/>
      </c>
      <c r="G51" s="19">
        <f t="shared" si="10"/>
        <v>1</v>
      </c>
      <c r="H51" s="2"/>
      <c r="I51" s="2"/>
      <c r="J51" s="2"/>
      <c r="K51" s="2"/>
      <c r="L51" s="2"/>
      <c r="M51" s="2"/>
      <c r="N51" s="2"/>
      <c r="O51" s="2"/>
      <c r="P51" s="2"/>
      <c r="Q51" s="2"/>
      <c r="R51" s="2"/>
      <c r="S51" s="2"/>
      <c r="T51" s="2"/>
    </row>
    <row r="52" spans="1:20">
      <c r="A52" s="19" t="str">
        <f>'2. Investicijos'!A15</f>
        <v>11.</v>
      </c>
      <c r="B52" s="19" t="str">
        <f>IF('2. Investicijos'!B15="","",'2. Investicijos'!B15)</f>
        <v/>
      </c>
      <c r="C52" s="51" t="str">
        <f>IF('2. Investicijos'!H15="","",'2. Investicijos'!H15)</f>
        <v/>
      </c>
      <c r="D52" s="47" t="str">
        <f>IF('2. Investicijos'!G15="","",'2. Investicijos'!G15)</f>
        <v/>
      </c>
      <c r="E52" s="52" t="str">
        <f t="shared" si="8"/>
        <v/>
      </c>
      <c r="F52" s="51" t="str">
        <f t="shared" si="9"/>
        <v/>
      </c>
      <c r="G52" s="19">
        <f t="shared" si="10"/>
        <v>1</v>
      </c>
      <c r="H52" s="2"/>
      <c r="I52" s="2"/>
      <c r="J52" s="2"/>
      <c r="K52" s="2"/>
      <c r="L52" s="2"/>
      <c r="M52" s="2"/>
      <c r="N52" s="2"/>
      <c r="O52" s="2"/>
      <c r="P52" s="2"/>
      <c r="Q52" s="2"/>
      <c r="R52" s="2"/>
      <c r="S52" s="2"/>
      <c r="T52" s="2"/>
    </row>
    <row r="53" spans="1:20">
      <c r="A53" s="19" t="str">
        <f>'2. Investicijos'!A16</f>
        <v>12.</v>
      </c>
      <c r="B53" s="19" t="str">
        <f>IF('2. Investicijos'!B16="","",'2. Investicijos'!B16)</f>
        <v/>
      </c>
      <c r="C53" s="51" t="str">
        <f>IF('2. Investicijos'!H16="","",'2. Investicijos'!H16)</f>
        <v/>
      </c>
      <c r="D53" s="47" t="str">
        <f>IF('2. Investicijos'!G16="","",'2. Investicijos'!G16)</f>
        <v/>
      </c>
      <c r="E53" s="52" t="str">
        <f t="shared" si="8"/>
        <v/>
      </c>
      <c r="F53" s="51" t="str">
        <f t="shared" si="9"/>
        <v/>
      </c>
      <c r="G53" s="19">
        <f t="shared" si="10"/>
        <v>1</v>
      </c>
      <c r="H53" s="2"/>
      <c r="I53" s="2"/>
      <c r="J53" s="2"/>
      <c r="K53" s="2"/>
      <c r="L53" s="2"/>
      <c r="M53" s="2"/>
      <c r="N53" s="2"/>
      <c r="O53" s="2"/>
      <c r="P53" s="2"/>
      <c r="Q53" s="2"/>
      <c r="R53" s="2"/>
      <c r="S53" s="2"/>
      <c r="T53" s="2"/>
    </row>
    <row r="54" spans="1:20">
      <c r="A54" s="19" t="str">
        <f>'2. Investicijos'!A17</f>
        <v>13.</v>
      </c>
      <c r="B54" s="19" t="str">
        <f>IF('2. Investicijos'!B17="","",'2. Investicijos'!B17)</f>
        <v/>
      </c>
      <c r="C54" s="51" t="str">
        <f>IF('2. Investicijos'!H17="","",'2. Investicijos'!H17)</f>
        <v/>
      </c>
      <c r="D54" s="47" t="str">
        <f>IF('2. Investicijos'!G17="","",'2. Investicijos'!G17)</f>
        <v/>
      </c>
      <c r="E54" s="52" t="str">
        <f t="shared" si="8"/>
        <v/>
      </c>
      <c r="F54" s="51" t="str">
        <f t="shared" si="9"/>
        <v/>
      </c>
      <c r="G54" s="19">
        <f t="shared" si="10"/>
        <v>1</v>
      </c>
      <c r="H54" s="2"/>
      <c r="I54" s="2"/>
      <c r="J54" s="2"/>
      <c r="K54" s="2"/>
      <c r="L54" s="2"/>
      <c r="M54" s="2"/>
      <c r="N54" s="2"/>
      <c r="O54" s="2"/>
      <c r="P54" s="2"/>
      <c r="Q54" s="2"/>
      <c r="R54" s="2"/>
      <c r="S54" s="2"/>
      <c r="T54" s="2"/>
    </row>
    <row r="55" spans="1:20">
      <c r="A55" s="19" t="str">
        <f>'2. Investicijos'!A18</f>
        <v>14.</v>
      </c>
      <c r="B55" s="19" t="str">
        <f>IF('2. Investicijos'!B18="","",'2. Investicijos'!B18)</f>
        <v/>
      </c>
      <c r="C55" s="51" t="str">
        <f>IF('2. Investicijos'!H18="","",'2. Investicijos'!H18)</f>
        <v/>
      </c>
      <c r="D55" s="47" t="str">
        <f>IF('2. Investicijos'!G18="","",'2. Investicijos'!G18)</f>
        <v/>
      </c>
      <c r="E55" s="52" t="str">
        <f t="shared" si="8"/>
        <v/>
      </c>
      <c r="F55" s="51" t="str">
        <f t="shared" si="9"/>
        <v/>
      </c>
      <c r="G55" s="19">
        <f t="shared" si="10"/>
        <v>1</v>
      </c>
      <c r="H55" s="2"/>
      <c r="I55" s="2"/>
      <c r="J55" s="2"/>
      <c r="K55" s="2"/>
      <c r="L55" s="2"/>
      <c r="M55" s="2"/>
      <c r="N55" s="2"/>
      <c r="O55" s="2"/>
      <c r="P55" s="2"/>
      <c r="Q55" s="2"/>
      <c r="R55" s="2"/>
      <c r="S55" s="2"/>
      <c r="T55" s="2"/>
    </row>
    <row r="56" spans="1:20">
      <c r="A56" s="19" t="str">
        <f>'2. Investicijos'!A19</f>
        <v>15.</v>
      </c>
      <c r="B56" s="19" t="str">
        <f>IF('2. Investicijos'!B19="","",'2. Investicijos'!B19)</f>
        <v/>
      </c>
      <c r="C56" s="51" t="str">
        <f>IF('2. Investicijos'!H19="","",'2. Investicijos'!H19)</f>
        <v/>
      </c>
      <c r="D56" s="47" t="str">
        <f>IF('2. Investicijos'!G19="","",'2. Investicijos'!G19)</f>
        <v/>
      </c>
      <c r="E56" s="52" t="str">
        <f t="shared" si="8"/>
        <v/>
      </c>
      <c r="F56" s="51" t="str">
        <f t="shared" si="9"/>
        <v/>
      </c>
      <c r="G56" s="19">
        <f t="shared" si="10"/>
        <v>1</v>
      </c>
      <c r="H56" s="2"/>
      <c r="I56" s="2"/>
      <c r="J56" s="2"/>
      <c r="K56" s="2"/>
      <c r="L56" s="2"/>
      <c r="M56" s="2"/>
      <c r="N56" s="2"/>
      <c r="O56" s="2"/>
      <c r="P56" s="2"/>
      <c r="Q56" s="2"/>
      <c r="R56" s="2"/>
      <c r="S56" s="2"/>
      <c r="T56" s="2"/>
    </row>
    <row r="57" spans="1:20">
      <c r="A57" s="19" t="str">
        <f>'2. Investicijos'!A20</f>
        <v>16.</v>
      </c>
      <c r="B57" s="19" t="str">
        <f>IF('2. Investicijos'!B20="","",'2. Investicijos'!B20)</f>
        <v/>
      </c>
      <c r="C57" s="51" t="str">
        <f>IF('2. Investicijos'!H20="","",'2. Investicijos'!H20)</f>
        <v/>
      </c>
      <c r="D57" s="47" t="str">
        <f>IF('2. Investicijos'!G20="","",'2. Investicijos'!G20)</f>
        <v/>
      </c>
      <c r="E57" s="52" t="str">
        <f t="shared" si="8"/>
        <v/>
      </c>
      <c r="F57" s="51" t="str">
        <f t="shared" si="9"/>
        <v/>
      </c>
      <c r="G57" s="19">
        <f t="shared" si="10"/>
        <v>1</v>
      </c>
      <c r="H57" s="2"/>
      <c r="I57" s="2"/>
      <c r="J57" s="2"/>
      <c r="K57" s="2"/>
      <c r="L57" s="2"/>
      <c r="M57" s="2"/>
      <c r="N57" s="2"/>
      <c r="O57" s="2"/>
      <c r="P57" s="2"/>
      <c r="Q57" s="2"/>
      <c r="R57" s="2"/>
      <c r="S57" s="2"/>
      <c r="T57" s="2"/>
    </row>
    <row r="58" spans="1:20">
      <c r="A58" s="19" t="str">
        <f>'2. Investicijos'!A21</f>
        <v>17.</v>
      </c>
      <c r="B58" s="19" t="str">
        <f>IF('2. Investicijos'!B21="","",'2. Investicijos'!B21)</f>
        <v/>
      </c>
      <c r="C58" s="51" t="str">
        <f>IF('2. Investicijos'!H21="","",'2. Investicijos'!H21)</f>
        <v/>
      </c>
      <c r="D58" s="47" t="str">
        <f>IF('2. Investicijos'!G21="","",'2. Investicijos'!G21)</f>
        <v/>
      </c>
      <c r="E58" s="52" t="str">
        <f t="shared" si="8"/>
        <v/>
      </c>
      <c r="F58" s="51" t="str">
        <f t="shared" si="9"/>
        <v/>
      </c>
      <c r="G58" s="19">
        <f t="shared" si="10"/>
        <v>1</v>
      </c>
      <c r="H58" s="2"/>
      <c r="I58" s="2"/>
      <c r="J58" s="2"/>
      <c r="K58" s="2"/>
      <c r="L58" s="2"/>
      <c r="M58" s="2"/>
      <c r="N58" s="2"/>
      <c r="O58" s="2"/>
      <c r="P58" s="2"/>
      <c r="Q58" s="2"/>
      <c r="R58" s="2"/>
      <c r="S58" s="2"/>
      <c r="T58" s="2"/>
    </row>
    <row r="59" spans="1:20">
      <c r="A59" s="19" t="str">
        <f>'2. Investicijos'!A22</f>
        <v>18.</v>
      </c>
      <c r="B59" s="19" t="str">
        <f>IF('2. Investicijos'!B22="","",'2. Investicijos'!B22)</f>
        <v/>
      </c>
      <c r="C59" s="51" t="str">
        <f>IF('2. Investicijos'!H22="","",'2. Investicijos'!H22)</f>
        <v/>
      </c>
      <c r="D59" s="47" t="str">
        <f>IF('2. Investicijos'!G22="","",'2. Investicijos'!G22)</f>
        <v/>
      </c>
      <c r="E59" s="52" t="str">
        <f t="shared" si="8"/>
        <v/>
      </c>
      <c r="F59" s="51" t="str">
        <f t="shared" si="9"/>
        <v/>
      </c>
      <c r="G59" s="19">
        <f t="shared" si="10"/>
        <v>1</v>
      </c>
      <c r="H59" s="2"/>
      <c r="I59" s="2"/>
      <c r="J59" s="2"/>
      <c r="K59" s="2"/>
      <c r="L59" s="2"/>
      <c r="M59" s="2"/>
      <c r="N59" s="2"/>
      <c r="O59" s="2"/>
      <c r="P59" s="2"/>
      <c r="Q59" s="2"/>
      <c r="R59" s="2"/>
      <c r="S59" s="2"/>
      <c r="T59" s="2"/>
    </row>
    <row r="60" spans="1:20">
      <c r="A60" s="19" t="str">
        <f>'2. Investicijos'!A23</f>
        <v>19.</v>
      </c>
      <c r="B60" s="19" t="str">
        <f>IF('2. Investicijos'!B23="","",'2. Investicijos'!B23)</f>
        <v/>
      </c>
      <c r="C60" s="51" t="str">
        <f>IF('2. Investicijos'!H23="","",'2. Investicijos'!H23)</f>
        <v/>
      </c>
      <c r="D60" s="47" t="str">
        <f>IF('2. Investicijos'!G23="","",'2. Investicijos'!G23)</f>
        <v/>
      </c>
      <c r="E60" s="52" t="str">
        <f t="shared" si="8"/>
        <v/>
      </c>
      <c r="F60" s="51" t="str">
        <f t="shared" si="9"/>
        <v/>
      </c>
      <c r="G60" s="19">
        <f t="shared" si="10"/>
        <v>1</v>
      </c>
      <c r="H60" s="2"/>
      <c r="I60" s="2"/>
      <c r="J60" s="2"/>
      <c r="K60" s="2"/>
      <c r="L60" s="2"/>
      <c r="M60" s="2"/>
      <c r="N60" s="2"/>
      <c r="O60" s="2"/>
      <c r="P60" s="2"/>
      <c r="Q60" s="2"/>
      <c r="R60" s="2"/>
      <c r="S60" s="2"/>
      <c r="T60" s="2"/>
    </row>
    <row r="61" spans="1:20">
      <c r="A61" s="19" t="str">
        <f>'2. Investicijos'!A24</f>
        <v>20.</v>
      </c>
      <c r="B61" s="19" t="str">
        <f>IF('2. Investicijos'!B24="","",'2. Investicijos'!B24)</f>
        <v/>
      </c>
      <c r="C61" s="51" t="str">
        <f>IF('2. Investicijos'!H24="","",'2. Investicijos'!H24)</f>
        <v/>
      </c>
      <c r="D61" s="47" t="str">
        <f>IF('2. Investicijos'!G24="","",'2. Investicijos'!G24)</f>
        <v/>
      </c>
      <c r="E61" s="52" t="str">
        <f t="shared" si="8"/>
        <v/>
      </c>
      <c r="F61" s="51" t="str">
        <f t="shared" si="9"/>
        <v/>
      </c>
      <c r="G61" s="19">
        <f t="shared" si="10"/>
        <v>1</v>
      </c>
      <c r="H61" s="2"/>
      <c r="I61" s="2"/>
      <c r="J61" s="2"/>
      <c r="K61" s="2"/>
      <c r="L61" s="2"/>
      <c r="M61" s="2"/>
      <c r="N61" s="2"/>
      <c r="O61" s="2"/>
      <c r="P61" s="2"/>
      <c r="Q61" s="2"/>
      <c r="R61" s="2"/>
      <c r="S61" s="2"/>
      <c r="T61" s="2"/>
    </row>
    <row r="62" spans="1:20">
      <c r="A62" s="27" t="s">
        <v>215</v>
      </c>
      <c r="B62" s="27"/>
      <c r="C62" s="27"/>
      <c r="D62" s="27"/>
      <c r="E62" s="27"/>
      <c r="F62" s="53" t="str">
        <f>IF(COUNT(C42:C61)=0,"",SUM(F42:F61))</f>
        <v/>
      </c>
      <c r="G62" s="27"/>
      <c r="H62" s="2"/>
      <c r="I62" s="2"/>
      <c r="J62" s="2"/>
      <c r="K62" s="2"/>
      <c r="L62" s="2"/>
      <c r="M62" s="2"/>
      <c r="N62" s="2"/>
      <c r="O62" s="2"/>
      <c r="P62" s="2"/>
      <c r="Q62" s="2"/>
      <c r="R62" s="2"/>
      <c r="S62" s="2"/>
      <c r="T62" s="2"/>
    </row>
    <row r="63" spans="1:20">
      <c r="A63" s="2"/>
      <c r="B63" s="2"/>
      <c r="C63" s="2"/>
      <c r="D63" s="2"/>
      <c r="E63" s="2"/>
      <c r="F63" s="2"/>
      <c r="G63" s="2"/>
      <c r="H63" s="2"/>
      <c r="I63" s="2"/>
      <c r="J63" s="2"/>
      <c r="K63" s="2"/>
      <c r="L63" s="2"/>
      <c r="M63" s="2"/>
      <c r="N63" s="2"/>
      <c r="O63" s="2"/>
      <c r="P63" s="2"/>
      <c r="Q63" s="2"/>
      <c r="R63" s="2"/>
      <c r="S63" s="2"/>
      <c r="T63" s="2"/>
    </row>
    <row r="64" spans="1:20" ht="14.5">
      <c r="A64" s="6" t="s">
        <v>47</v>
      </c>
      <c r="B64" s="7"/>
      <c r="C64" s="7"/>
      <c r="D64" s="7"/>
      <c r="E64" s="7"/>
      <c r="F64" s="7"/>
      <c r="G64" s="7"/>
      <c r="H64" s="7"/>
      <c r="I64" s="7"/>
      <c r="J64" s="7"/>
      <c r="K64" s="7"/>
      <c r="L64" s="7"/>
      <c r="M64" s="7"/>
      <c r="N64" s="7"/>
      <c r="O64" s="7"/>
      <c r="P64" s="7"/>
      <c r="Q64" s="7"/>
      <c r="R64" s="7"/>
      <c r="S64" s="7"/>
      <c r="T64" s="44"/>
    </row>
    <row r="65" spans="1:20" ht="36">
      <c r="A65" s="8" t="s">
        <v>1</v>
      </c>
      <c r="B65" s="8" t="s">
        <v>48</v>
      </c>
      <c r="C65" s="8" t="s">
        <v>80</v>
      </c>
      <c r="D65" s="8" t="s">
        <v>81</v>
      </c>
      <c r="E65" s="8" t="s">
        <v>25</v>
      </c>
      <c r="F65" s="8" t="s">
        <v>44</v>
      </c>
      <c r="G65" s="8" t="s">
        <v>49</v>
      </c>
      <c r="H65" s="8" t="s">
        <v>318</v>
      </c>
      <c r="I65" s="8" t="s">
        <v>50</v>
      </c>
      <c r="J65" s="8">
        <f>'3. Finansinės prielaidos'!C26</f>
        <v>2026</v>
      </c>
      <c r="K65" s="8">
        <f>'3. Finansinės prielaidos'!D26</f>
        <v>2027</v>
      </c>
      <c r="L65" s="8">
        <f>'3. Finansinės prielaidos'!E26</f>
        <v>2028</v>
      </c>
      <c r="M65" s="8">
        <f>'3. Finansinės prielaidos'!F26</f>
        <v>2029</v>
      </c>
      <c r="N65" s="8">
        <f>'3. Finansinės prielaidos'!G26</f>
        <v>2030</v>
      </c>
      <c r="O65" s="8">
        <f>'3. Finansinės prielaidos'!H26</f>
        <v>2031</v>
      </c>
      <c r="P65" s="8">
        <f>'3. Finansinės prielaidos'!I26</f>
        <v>2032</v>
      </c>
      <c r="Q65" s="8">
        <f>'3. Finansinės prielaidos'!J26</f>
        <v>2033</v>
      </c>
      <c r="R65" s="8">
        <f>'3. Finansinės prielaidos'!K26</f>
        <v>2034</v>
      </c>
      <c r="S65" s="8">
        <f>'3. Finansinės prielaidos'!L26</f>
        <v>2035</v>
      </c>
      <c r="T65" s="45"/>
    </row>
    <row r="66" spans="1:20">
      <c r="A66" s="17">
        <v>0</v>
      </c>
      <c r="B66" s="17" t="str">
        <f t="shared" ref="B66:B86" si="11">IF(A66=0,"Bazė be investicijų","Investicijos 1–"&amp;A66)</f>
        <v>Bazė be investicijų</v>
      </c>
      <c r="C66" s="54" t="str">
        <f>IF(SUM(C42:C61)=0,"",0)</f>
        <v/>
      </c>
      <c r="D66" s="55">
        <f>IF(A66=0,0,SUM($F41:F$42))</f>
        <v>0</v>
      </c>
      <c r="E66" s="17" t="str">
        <f t="shared" ref="E66:E86" si="12">IF(COUNTA(J66:S66)=0,"",IF(COUNTIF(J66:S66,"NEATITINKA")&gt;0,"NEATITINKA",IF(COUNTIF(J66:S66,"ATITINKA")=10,"ATITINKA","")))</f>
        <v/>
      </c>
      <c r="F66" s="17" t="str">
        <f t="shared" ref="F66:F86" si="13">IF(E66&lt;&gt;"NEATITINKA","",INDEX(J$65:S$65,1,MATCH("NEATITINKA",J66:S66,0)))</f>
        <v/>
      </c>
      <c r="G66" s="17" t="str">
        <f>IF(F66="","",IF(SUMIFS('7A. Pagalbiniai skaičiavimai'!$V$30:$V$239,'7A. Pagalbiniai skaičiavimai'!$A$30:$A$239,$A66,'7A. Pagalbiniai skaičiavimai'!$B$30:$B$239,$F66)&gt;5.5,"Net Debt / EBITDA",IF(SUMIFS('7A. Pagalbiniai skaičiavimai'!$W$30:$W$239,'7A. Pagalbiniai skaičiavimai'!$A$30:$A$239,$A66,'7A. Pagalbiniai skaičiavimai'!$B$30:$B$239,$F66)&lt;1.2,"DSCR","Abu")))</f>
        <v/>
      </c>
      <c r="H66" s="56">
        <f>IF(COUNTA('7A. Pagalbiniai skaičiavimai'!$V$30:$V$39)=0,"",MAX('7A. Pagalbiniai skaičiavimai'!$V$30:$V$39))</f>
        <v>0</v>
      </c>
      <c r="I66" s="56">
        <f>IF(COUNTA('7A. Pagalbiniai skaičiavimai'!$W$30:$W$39)=0,"",MIN('7A. Pagalbiniai skaičiavimai'!$W$30:$W$39))</f>
        <v>0</v>
      </c>
      <c r="J66" s="17" t="str">
        <f>'7A. Pagalbiniai skaičiavimai'!$X$30</f>
        <v/>
      </c>
      <c r="K66" s="17" t="str">
        <f>'7A. Pagalbiniai skaičiavimai'!$X$31</f>
        <v/>
      </c>
      <c r="L66" s="17" t="str">
        <f>'7A. Pagalbiniai skaičiavimai'!$X$32</f>
        <v/>
      </c>
      <c r="M66" s="17" t="str">
        <f>'7A. Pagalbiniai skaičiavimai'!$X$33</f>
        <v/>
      </c>
      <c r="N66" s="17" t="str">
        <f>'7A. Pagalbiniai skaičiavimai'!$X$34</f>
        <v/>
      </c>
      <c r="O66" s="17" t="str">
        <f>'7A. Pagalbiniai skaičiavimai'!$X$35</f>
        <v/>
      </c>
      <c r="P66" s="17" t="str">
        <f>'7A. Pagalbiniai skaičiavimai'!$X$36</f>
        <v/>
      </c>
      <c r="Q66" s="17" t="str">
        <f>'7A. Pagalbiniai skaičiavimai'!$X$37</f>
        <v/>
      </c>
      <c r="R66" s="17" t="str">
        <f>'7A. Pagalbiniai skaičiavimai'!$X$38</f>
        <v/>
      </c>
      <c r="S66" s="17" t="str">
        <f>'7A. Pagalbiniai skaičiavimai'!$X$39</f>
        <v/>
      </c>
      <c r="T66" s="3"/>
    </row>
    <row r="67" spans="1:20">
      <c r="A67" s="17">
        <v>1</v>
      </c>
      <c r="B67" s="17" t="str">
        <f t="shared" si="11"/>
        <v>Investicijos 1–1</v>
      </c>
      <c r="C67" s="54" t="str">
        <f>IF(SUM($C$42:C42)=0,"",D67/SUM($C$42:C42))</f>
        <v/>
      </c>
      <c r="D67" s="55">
        <f>IF(A67=0,0,SUM($F$42:F42))</f>
        <v>0</v>
      </c>
      <c r="E67" s="17" t="str">
        <f t="shared" si="12"/>
        <v/>
      </c>
      <c r="F67" s="17" t="str">
        <f t="shared" si="13"/>
        <v/>
      </c>
      <c r="G67" s="17" t="str">
        <f>IF(F67="","",IF(SUMIFS('7A. Pagalbiniai skaičiavimai'!$V$30:$V$239,'7A. Pagalbiniai skaičiavimai'!$A$30:$A$239,$A67,'7A. Pagalbiniai skaičiavimai'!$B$30:$B$239,$F67)&gt;5.5,"Net Debt / EBITDA",IF(SUMIFS('7A. Pagalbiniai skaičiavimai'!$W$30:$W$239,'7A. Pagalbiniai skaičiavimai'!$A$30:$A$239,$A67,'7A. Pagalbiniai skaičiavimai'!$B$30:$B$239,$F67)&lt;1.2,"DSCR","Abu")))</f>
        <v/>
      </c>
      <c r="H67" s="56" t="e">
        <f>IF(COUNTA('7A. Pagalbiniai skaičiavimai'!$V$40:$V$49)=0,"",MAX('7A. Pagalbiniai skaičiavimai'!$V$40:$V$49))</f>
        <v>#VALUE!</v>
      </c>
      <c r="I67" s="56" t="e">
        <f>IF(COUNTA('7A. Pagalbiniai skaičiavimai'!$W$40:$W$49)=0,"",MIN('7A. Pagalbiniai skaičiavimai'!$W$40:$W$49))</f>
        <v>#VALUE!</v>
      </c>
      <c r="J67" s="17" t="e">
        <f>'7A. Pagalbiniai skaičiavimai'!$X$40</f>
        <v>#VALUE!</v>
      </c>
      <c r="K67" s="17" t="e">
        <f>'7A. Pagalbiniai skaičiavimai'!$X$41</f>
        <v>#VALUE!</v>
      </c>
      <c r="L67" s="17" t="e">
        <f>'7A. Pagalbiniai skaičiavimai'!$X$42</f>
        <v>#VALUE!</v>
      </c>
      <c r="M67" s="17" t="e">
        <f>'7A. Pagalbiniai skaičiavimai'!$X$43</f>
        <v>#VALUE!</v>
      </c>
      <c r="N67" s="17" t="e">
        <f>'7A. Pagalbiniai skaičiavimai'!$X$44</f>
        <v>#VALUE!</v>
      </c>
      <c r="O67" s="17" t="e">
        <f>'7A. Pagalbiniai skaičiavimai'!$X$45</f>
        <v>#VALUE!</v>
      </c>
      <c r="P67" s="17" t="e">
        <f>'7A. Pagalbiniai skaičiavimai'!$X$46</f>
        <v>#VALUE!</v>
      </c>
      <c r="Q67" s="17" t="e">
        <f>'7A. Pagalbiniai skaičiavimai'!$X$47</f>
        <v>#VALUE!</v>
      </c>
      <c r="R67" s="17" t="e">
        <f>'7A. Pagalbiniai skaičiavimai'!$X$48</f>
        <v>#VALUE!</v>
      </c>
      <c r="S67" s="17" t="e">
        <f>'7A. Pagalbiniai skaičiavimai'!$X$49</f>
        <v>#VALUE!</v>
      </c>
      <c r="T67" s="3"/>
    </row>
    <row r="68" spans="1:20">
      <c r="A68" s="17">
        <v>2</v>
      </c>
      <c r="B68" s="17" t="str">
        <f t="shared" si="11"/>
        <v>Investicijos 1–2</v>
      </c>
      <c r="C68" s="54" t="str">
        <f>IF(SUM($C$42:C43)=0,"",D68/SUM($C$42:C43))</f>
        <v/>
      </c>
      <c r="D68" s="55">
        <f>IF(A68=0,0,SUM($F$42:F43))</f>
        <v>0</v>
      </c>
      <c r="E68" s="17" t="str">
        <f t="shared" si="12"/>
        <v/>
      </c>
      <c r="F68" s="17" t="str">
        <f t="shared" si="13"/>
        <v/>
      </c>
      <c r="G68" s="17" t="str">
        <f>IF(F68="","",IF(SUMIFS('7A. Pagalbiniai skaičiavimai'!$V$30:$V$239,'7A. Pagalbiniai skaičiavimai'!$A$30:$A$239,$A68,'7A. Pagalbiniai skaičiavimai'!$B$30:$B$239,$F68)&gt;5.5,"Net Debt / EBITDA",IF(SUMIFS('7A. Pagalbiniai skaičiavimai'!$W$30:$W$239,'7A. Pagalbiniai skaičiavimai'!$A$30:$A$239,$A68,'7A. Pagalbiniai skaičiavimai'!$B$30:$B$239,$F68)&lt;1.2,"DSCR","Abu")))</f>
        <v/>
      </c>
      <c r="H68" s="56" t="e">
        <f>IF(COUNTA('7A. Pagalbiniai skaičiavimai'!$V$50:$V$59)=0,"",MAX('7A. Pagalbiniai skaičiavimai'!$V$50:$V$59))</f>
        <v>#VALUE!</v>
      </c>
      <c r="I68" s="56" t="e">
        <f>IF(COUNTA('7A. Pagalbiniai skaičiavimai'!$W$50:$W$59)=0,"",MIN('7A. Pagalbiniai skaičiavimai'!$W$50:$W$59))</f>
        <v>#VALUE!</v>
      </c>
      <c r="J68" s="17" t="e">
        <f>'7A. Pagalbiniai skaičiavimai'!$X$50</f>
        <v>#VALUE!</v>
      </c>
      <c r="K68" s="17" t="e">
        <f>'7A. Pagalbiniai skaičiavimai'!$X$51</f>
        <v>#VALUE!</v>
      </c>
      <c r="L68" s="17" t="e">
        <f>'7A. Pagalbiniai skaičiavimai'!$X$52</f>
        <v>#VALUE!</v>
      </c>
      <c r="M68" s="17" t="e">
        <f>'7A. Pagalbiniai skaičiavimai'!$X$53</f>
        <v>#VALUE!</v>
      </c>
      <c r="N68" s="17" t="e">
        <f>'7A. Pagalbiniai skaičiavimai'!$X$54</f>
        <v>#VALUE!</v>
      </c>
      <c r="O68" s="17" t="e">
        <f>'7A. Pagalbiniai skaičiavimai'!$X$55</f>
        <v>#VALUE!</v>
      </c>
      <c r="P68" s="17" t="e">
        <f>'7A. Pagalbiniai skaičiavimai'!$X$56</f>
        <v>#VALUE!</v>
      </c>
      <c r="Q68" s="17" t="e">
        <f>'7A. Pagalbiniai skaičiavimai'!$X$57</f>
        <v>#VALUE!</v>
      </c>
      <c r="R68" s="17" t="e">
        <f>'7A. Pagalbiniai skaičiavimai'!$X$58</f>
        <v>#VALUE!</v>
      </c>
      <c r="S68" s="17" t="e">
        <f>'7A. Pagalbiniai skaičiavimai'!$X$59</f>
        <v>#VALUE!</v>
      </c>
      <c r="T68" s="3"/>
    </row>
    <row r="69" spans="1:20">
      <c r="A69" s="17">
        <v>3</v>
      </c>
      <c r="B69" s="17" t="str">
        <f t="shared" si="11"/>
        <v>Investicijos 1–3</v>
      </c>
      <c r="C69" s="54" t="str">
        <f>IF(SUM($C$42:C44)=0,"",D69/SUM($C$42:C44))</f>
        <v/>
      </c>
      <c r="D69" s="55">
        <f>IF(A69=0,0,SUM($F$42:F44))</f>
        <v>0</v>
      </c>
      <c r="E69" s="17" t="str">
        <f t="shared" si="12"/>
        <v/>
      </c>
      <c r="F69" s="17" t="str">
        <f t="shared" si="13"/>
        <v/>
      </c>
      <c r="G69" s="17" t="str">
        <f>IF(F69="","",IF(SUMIFS('7A. Pagalbiniai skaičiavimai'!$V$30:$V$239,'7A. Pagalbiniai skaičiavimai'!$A$30:$A$239,$A69,'7A. Pagalbiniai skaičiavimai'!$B$30:$B$239,$F69)&gt;5.5,"Net Debt / EBITDA",IF(SUMIFS('7A. Pagalbiniai skaičiavimai'!$W$30:$W$239,'7A. Pagalbiniai skaičiavimai'!$A$30:$A$239,$A69,'7A. Pagalbiniai skaičiavimai'!$B$30:$B$239,$F69)&lt;1.2,"DSCR","Abu")))</f>
        <v/>
      </c>
      <c r="H69" s="56" t="e">
        <f>IF(COUNTA('7A. Pagalbiniai skaičiavimai'!$V$60:$V$69)=0,"",MAX('7A. Pagalbiniai skaičiavimai'!$V$60:$V$69))</f>
        <v>#VALUE!</v>
      </c>
      <c r="I69" s="56" t="e">
        <f>IF(COUNTA('7A. Pagalbiniai skaičiavimai'!$W$60:$W$69)=0,"",MIN('7A. Pagalbiniai skaičiavimai'!$W$60:$W$69))</f>
        <v>#VALUE!</v>
      </c>
      <c r="J69" s="17" t="e">
        <f>'7A. Pagalbiniai skaičiavimai'!$X$60</f>
        <v>#VALUE!</v>
      </c>
      <c r="K69" s="17" t="e">
        <f>'7A. Pagalbiniai skaičiavimai'!$X$61</f>
        <v>#VALUE!</v>
      </c>
      <c r="L69" s="17" t="e">
        <f>'7A. Pagalbiniai skaičiavimai'!$X$62</f>
        <v>#VALUE!</v>
      </c>
      <c r="M69" s="17" t="e">
        <f>'7A. Pagalbiniai skaičiavimai'!$X$63</f>
        <v>#VALUE!</v>
      </c>
      <c r="N69" s="17" t="e">
        <f>'7A. Pagalbiniai skaičiavimai'!$X$64</f>
        <v>#VALUE!</v>
      </c>
      <c r="O69" s="17" t="e">
        <f>'7A. Pagalbiniai skaičiavimai'!$X$65</f>
        <v>#VALUE!</v>
      </c>
      <c r="P69" s="17" t="e">
        <f>'7A. Pagalbiniai skaičiavimai'!$X$66</f>
        <v>#VALUE!</v>
      </c>
      <c r="Q69" s="17" t="e">
        <f>'7A. Pagalbiniai skaičiavimai'!$X$67</f>
        <v>#VALUE!</v>
      </c>
      <c r="R69" s="17" t="e">
        <f>'7A. Pagalbiniai skaičiavimai'!$X$68</f>
        <v>#VALUE!</v>
      </c>
      <c r="S69" s="17" t="e">
        <f>'7A. Pagalbiniai skaičiavimai'!$X$69</f>
        <v>#VALUE!</v>
      </c>
      <c r="T69" s="3"/>
    </row>
    <row r="70" spans="1:20">
      <c r="A70" s="17">
        <v>4</v>
      </c>
      <c r="B70" s="17" t="str">
        <f t="shared" si="11"/>
        <v>Investicijos 1–4</v>
      </c>
      <c r="C70" s="54" t="str">
        <f>IF(SUM($C$42:C45)=0,"",D70/SUM($C$42:C45))</f>
        <v/>
      </c>
      <c r="D70" s="55">
        <f>IF(A70=0,0,SUM($F$42:F45))</f>
        <v>0</v>
      </c>
      <c r="E70" s="17" t="str">
        <f t="shared" si="12"/>
        <v/>
      </c>
      <c r="F70" s="17" t="str">
        <f t="shared" si="13"/>
        <v/>
      </c>
      <c r="G70" s="17" t="str">
        <f>IF(F70="","",IF(SUMIFS('7A. Pagalbiniai skaičiavimai'!$V$30:$V$239,'7A. Pagalbiniai skaičiavimai'!$A$30:$A$239,$A70,'7A. Pagalbiniai skaičiavimai'!$B$30:$B$239,$F70)&gt;5.5,"Net Debt / EBITDA",IF(SUMIFS('7A. Pagalbiniai skaičiavimai'!$W$30:$W$239,'7A. Pagalbiniai skaičiavimai'!$A$30:$A$239,$A70,'7A. Pagalbiniai skaičiavimai'!$B$30:$B$239,$F70)&lt;1.2,"DSCR","Abu")))</f>
        <v/>
      </c>
      <c r="H70" s="56" t="e">
        <f>IF(COUNTA('7A. Pagalbiniai skaičiavimai'!$V$70:$V$79)=0,"",MAX('7A. Pagalbiniai skaičiavimai'!$V$70:$V$79))</f>
        <v>#VALUE!</v>
      </c>
      <c r="I70" s="56" t="e">
        <f>IF(COUNTA('7A. Pagalbiniai skaičiavimai'!$W$70:$W$79)=0,"",MIN('7A. Pagalbiniai skaičiavimai'!$W$70:$W$79))</f>
        <v>#VALUE!</v>
      </c>
      <c r="J70" s="17" t="e">
        <f>'7A. Pagalbiniai skaičiavimai'!$X$70</f>
        <v>#VALUE!</v>
      </c>
      <c r="K70" s="17" t="e">
        <f>'7A. Pagalbiniai skaičiavimai'!$X$71</f>
        <v>#VALUE!</v>
      </c>
      <c r="L70" s="17" t="e">
        <f>'7A. Pagalbiniai skaičiavimai'!$X$72</f>
        <v>#VALUE!</v>
      </c>
      <c r="M70" s="17" t="e">
        <f>'7A. Pagalbiniai skaičiavimai'!$X$73</f>
        <v>#VALUE!</v>
      </c>
      <c r="N70" s="17" t="e">
        <f>'7A. Pagalbiniai skaičiavimai'!$X$74</f>
        <v>#VALUE!</v>
      </c>
      <c r="O70" s="17" t="e">
        <f>'7A. Pagalbiniai skaičiavimai'!$X$75</f>
        <v>#VALUE!</v>
      </c>
      <c r="P70" s="17" t="e">
        <f>'7A. Pagalbiniai skaičiavimai'!$X$76</f>
        <v>#VALUE!</v>
      </c>
      <c r="Q70" s="17" t="e">
        <f>'7A. Pagalbiniai skaičiavimai'!$X$77</f>
        <v>#VALUE!</v>
      </c>
      <c r="R70" s="17" t="e">
        <f>'7A. Pagalbiniai skaičiavimai'!$X$78</f>
        <v>#VALUE!</v>
      </c>
      <c r="S70" s="17" t="e">
        <f>'7A. Pagalbiniai skaičiavimai'!$X$79</f>
        <v>#VALUE!</v>
      </c>
      <c r="T70" s="3"/>
    </row>
    <row r="71" spans="1:20">
      <c r="A71" s="17">
        <v>5</v>
      </c>
      <c r="B71" s="17" t="str">
        <f t="shared" si="11"/>
        <v>Investicijos 1–5</v>
      </c>
      <c r="C71" s="54" t="str">
        <f>IF(SUM($C$42:C46)=0,"",D71/SUM($C$42:C46))</f>
        <v/>
      </c>
      <c r="D71" s="55">
        <f>IF(A71=0,0,SUM($F$42:F46))</f>
        <v>0</v>
      </c>
      <c r="E71" s="17" t="str">
        <f t="shared" si="12"/>
        <v/>
      </c>
      <c r="F71" s="17" t="str">
        <f t="shared" si="13"/>
        <v/>
      </c>
      <c r="G71" s="17" t="str">
        <f>IF(F71="","",IF(SUMIFS('7A. Pagalbiniai skaičiavimai'!$V$30:$V$239,'7A. Pagalbiniai skaičiavimai'!$A$30:$A$239,$A71,'7A. Pagalbiniai skaičiavimai'!$B$30:$B$239,$F71)&gt;5.5,"Net Debt / EBITDA",IF(SUMIFS('7A. Pagalbiniai skaičiavimai'!$W$30:$W$239,'7A. Pagalbiniai skaičiavimai'!$A$30:$A$239,$A71,'7A. Pagalbiniai skaičiavimai'!$B$30:$B$239,$F71)&lt;1.2,"DSCR","Abu")))</f>
        <v/>
      </c>
      <c r="H71" s="56" t="e">
        <f>IF(COUNTA('7A. Pagalbiniai skaičiavimai'!$V$80:$V$89)=0,"",MAX('7A. Pagalbiniai skaičiavimai'!$V$80:$V$89))</f>
        <v>#VALUE!</v>
      </c>
      <c r="I71" s="56" t="e">
        <f>IF(COUNTA('7A. Pagalbiniai skaičiavimai'!$W$80:$W$89)=0,"",MIN('7A. Pagalbiniai skaičiavimai'!$W$80:$W$89))</f>
        <v>#VALUE!</v>
      </c>
      <c r="J71" s="17" t="e">
        <f>'7A. Pagalbiniai skaičiavimai'!$X$80</f>
        <v>#VALUE!</v>
      </c>
      <c r="K71" s="17" t="e">
        <f>'7A. Pagalbiniai skaičiavimai'!$X$81</f>
        <v>#VALUE!</v>
      </c>
      <c r="L71" s="17" t="e">
        <f>'7A. Pagalbiniai skaičiavimai'!$X$82</f>
        <v>#VALUE!</v>
      </c>
      <c r="M71" s="17" t="e">
        <f>'7A. Pagalbiniai skaičiavimai'!$X$83</f>
        <v>#VALUE!</v>
      </c>
      <c r="N71" s="17" t="e">
        <f>'7A. Pagalbiniai skaičiavimai'!$X$84</f>
        <v>#VALUE!</v>
      </c>
      <c r="O71" s="17" t="e">
        <f>'7A. Pagalbiniai skaičiavimai'!$X$85</f>
        <v>#VALUE!</v>
      </c>
      <c r="P71" s="17" t="e">
        <f>'7A. Pagalbiniai skaičiavimai'!$X$86</f>
        <v>#VALUE!</v>
      </c>
      <c r="Q71" s="17" t="e">
        <f>'7A. Pagalbiniai skaičiavimai'!$X$87</f>
        <v>#VALUE!</v>
      </c>
      <c r="R71" s="17" t="e">
        <f>'7A. Pagalbiniai skaičiavimai'!$X$88</f>
        <v>#VALUE!</v>
      </c>
      <c r="S71" s="17" t="e">
        <f>'7A. Pagalbiniai skaičiavimai'!$X$89</f>
        <v>#VALUE!</v>
      </c>
      <c r="T71" s="3"/>
    </row>
    <row r="72" spans="1:20">
      <c r="A72" s="17">
        <v>6</v>
      </c>
      <c r="B72" s="17" t="str">
        <f t="shared" si="11"/>
        <v>Investicijos 1–6</v>
      </c>
      <c r="C72" s="54" t="str">
        <f>IF(SUM($C$42:C47)=0,"",D72/SUM($C$42:C47))</f>
        <v/>
      </c>
      <c r="D72" s="55">
        <f>IF(A72=0,0,SUM($F$42:F47))</f>
        <v>0</v>
      </c>
      <c r="E72" s="17" t="str">
        <f t="shared" si="12"/>
        <v/>
      </c>
      <c r="F72" s="17" t="str">
        <f t="shared" si="13"/>
        <v/>
      </c>
      <c r="G72" s="17" t="str">
        <f>IF(F72="","",IF(SUMIFS('7A. Pagalbiniai skaičiavimai'!$V$30:$V$239,'7A. Pagalbiniai skaičiavimai'!$A$30:$A$239,$A72,'7A. Pagalbiniai skaičiavimai'!$B$30:$B$239,$F72)&gt;5.5,"Net Debt / EBITDA",IF(SUMIFS('7A. Pagalbiniai skaičiavimai'!$W$30:$W$239,'7A. Pagalbiniai skaičiavimai'!$A$30:$A$239,$A72,'7A. Pagalbiniai skaičiavimai'!$B$30:$B$239,$F72)&lt;1.2,"DSCR","Abu")))</f>
        <v/>
      </c>
      <c r="H72" s="56" t="e">
        <f>IF(COUNTA('7A. Pagalbiniai skaičiavimai'!$V$90:$V$99)=0,"",MAX('7A. Pagalbiniai skaičiavimai'!$V$90:$V$99))</f>
        <v>#VALUE!</v>
      </c>
      <c r="I72" s="56" t="e">
        <f>IF(COUNTA('7A. Pagalbiniai skaičiavimai'!$W$90:$W$99)=0,"",MIN('7A. Pagalbiniai skaičiavimai'!$W$90:$W$99))</f>
        <v>#VALUE!</v>
      </c>
      <c r="J72" s="17" t="e">
        <f>'7A. Pagalbiniai skaičiavimai'!$X$90</f>
        <v>#VALUE!</v>
      </c>
      <c r="K72" s="17" t="e">
        <f>'7A. Pagalbiniai skaičiavimai'!$X$91</f>
        <v>#VALUE!</v>
      </c>
      <c r="L72" s="17" t="e">
        <f>'7A. Pagalbiniai skaičiavimai'!$X$92</f>
        <v>#VALUE!</v>
      </c>
      <c r="M72" s="17" t="e">
        <f>'7A. Pagalbiniai skaičiavimai'!$X$93</f>
        <v>#VALUE!</v>
      </c>
      <c r="N72" s="17" t="e">
        <f>'7A. Pagalbiniai skaičiavimai'!$X$94</f>
        <v>#VALUE!</v>
      </c>
      <c r="O72" s="17" t="e">
        <f>'7A. Pagalbiniai skaičiavimai'!$X$95</f>
        <v>#VALUE!</v>
      </c>
      <c r="P72" s="17" t="e">
        <f>'7A. Pagalbiniai skaičiavimai'!$X$96</f>
        <v>#VALUE!</v>
      </c>
      <c r="Q72" s="17" t="e">
        <f>'7A. Pagalbiniai skaičiavimai'!$X$97</f>
        <v>#VALUE!</v>
      </c>
      <c r="R72" s="17" t="e">
        <f>'7A. Pagalbiniai skaičiavimai'!$X$98</f>
        <v>#VALUE!</v>
      </c>
      <c r="S72" s="17" t="e">
        <f>'7A. Pagalbiniai skaičiavimai'!$X$99</f>
        <v>#VALUE!</v>
      </c>
      <c r="T72" s="3"/>
    </row>
    <row r="73" spans="1:20">
      <c r="A73" s="17">
        <v>7</v>
      </c>
      <c r="B73" s="17" t="str">
        <f t="shared" si="11"/>
        <v>Investicijos 1–7</v>
      </c>
      <c r="C73" s="54" t="str">
        <f>IF(SUM($C$42:C48)=0,"",D73/SUM($C$42:C48))</f>
        <v/>
      </c>
      <c r="D73" s="55">
        <f>IF(A73=0,0,SUM($F$42:F48))</f>
        <v>0</v>
      </c>
      <c r="E73" s="17" t="str">
        <f t="shared" si="12"/>
        <v/>
      </c>
      <c r="F73" s="17" t="str">
        <f t="shared" si="13"/>
        <v/>
      </c>
      <c r="G73" s="17" t="str">
        <f>IF(F73="","",IF(SUMIFS('7A. Pagalbiniai skaičiavimai'!$V$30:$V$239,'7A. Pagalbiniai skaičiavimai'!$A$30:$A$239,$A73,'7A. Pagalbiniai skaičiavimai'!$B$30:$B$239,$F73)&gt;5.5,"Net Debt / EBITDA",IF(SUMIFS('7A. Pagalbiniai skaičiavimai'!$W$30:$W$239,'7A. Pagalbiniai skaičiavimai'!$A$30:$A$239,$A73,'7A. Pagalbiniai skaičiavimai'!$B$30:$B$239,$F73)&lt;1.2,"DSCR","Abu")))</f>
        <v/>
      </c>
      <c r="H73" s="56" t="e">
        <f>IF(COUNTA('7A. Pagalbiniai skaičiavimai'!$V$100:$V$109)=0,"",MAX('7A. Pagalbiniai skaičiavimai'!$V$100:$V$109))</f>
        <v>#VALUE!</v>
      </c>
      <c r="I73" s="56" t="e">
        <f>IF(COUNTA('7A. Pagalbiniai skaičiavimai'!$W$100:$W$109)=0,"",MIN('7A. Pagalbiniai skaičiavimai'!$W$100:$W$109))</f>
        <v>#VALUE!</v>
      </c>
      <c r="J73" s="17" t="e">
        <f>'7A. Pagalbiniai skaičiavimai'!$X$100</f>
        <v>#VALUE!</v>
      </c>
      <c r="K73" s="17" t="e">
        <f>'7A. Pagalbiniai skaičiavimai'!$X$101</f>
        <v>#VALUE!</v>
      </c>
      <c r="L73" s="17" t="e">
        <f>'7A. Pagalbiniai skaičiavimai'!$X$102</f>
        <v>#VALUE!</v>
      </c>
      <c r="M73" s="17" t="e">
        <f>'7A. Pagalbiniai skaičiavimai'!$X$103</f>
        <v>#VALUE!</v>
      </c>
      <c r="N73" s="17" t="e">
        <f>'7A. Pagalbiniai skaičiavimai'!$X$104</f>
        <v>#VALUE!</v>
      </c>
      <c r="O73" s="17" t="e">
        <f>'7A. Pagalbiniai skaičiavimai'!$X$105</f>
        <v>#VALUE!</v>
      </c>
      <c r="P73" s="17" t="e">
        <f>'7A. Pagalbiniai skaičiavimai'!$X$106</f>
        <v>#VALUE!</v>
      </c>
      <c r="Q73" s="17" t="e">
        <f>'7A. Pagalbiniai skaičiavimai'!$X$107</f>
        <v>#VALUE!</v>
      </c>
      <c r="R73" s="17" t="e">
        <f>'7A. Pagalbiniai skaičiavimai'!$X$108</f>
        <v>#VALUE!</v>
      </c>
      <c r="S73" s="17" t="e">
        <f>'7A. Pagalbiniai skaičiavimai'!$X$109</f>
        <v>#VALUE!</v>
      </c>
      <c r="T73" s="3"/>
    </row>
    <row r="74" spans="1:20">
      <c r="A74" s="17">
        <v>8</v>
      </c>
      <c r="B74" s="17" t="str">
        <f t="shared" si="11"/>
        <v>Investicijos 1–8</v>
      </c>
      <c r="C74" s="54" t="str">
        <f>IF(SUM($C$42:C49)=0,"",D74/SUM($C$42:C49))</f>
        <v/>
      </c>
      <c r="D74" s="55">
        <f>IF(A74=0,0,SUM($F$42:F49))</f>
        <v>0</v>
      </c>
      <c r="E74" s="17" t="str">
        <f t="shared" si="12"/>
        <v/>
      </c>
      <c r="F74" s="17" t="str">
        <f t="shared" si="13"/>
        <v/>
      </c>
      <c r="G74" s="17" t="str">
        <f>IF(F74="","",IF(SUMIFS('7A. Pagalbiniai skaičiavimai'!$V$30:$V$239,'7A. Pagalbiniai skaičiavimai'!$A$30:$A$239,$A74,'7A. Pagalbiniai skaičiavimai'!$B$30:$B$239,$F74)&gt;5.5,"Net Debt / EBITDA",IF(SUMIFS('7A. Pagalbiniai skaičiavimai'!$W$30:$W$239,'7A. Pagalbiniai skaičiavimai'!$A$30:$A$239,$A74,'7A. Pagalbiniai skaičiavimai'!$B$30:$B$239,$F74)&lt;1.2,"DSCR","Abu")))</f>
        <v/>
      </c>
      <c r="H74" s="56" t="e">
        <f>IF(COUNTA('7A. Pagalbiniai skaičiavimai'!$V$110:$V$119)=0,"",MAX('7A. Pagalbiniai skaičiavimai'!$V$110:$V$119))</f>
        <v>#VALUE!</v>
      </c>
      <c r="I74" s="56" t="e">
        <f>IF(COUNTA('7A. Pagalbiniai skaičiavimai'!$W$110:$W$119)=0,"",MIN('7A. Pagalbiniai skaičiavimai'!$W$110:$W$119))</f>
        <v>#VALUE!</v>
      </c>
      <c r="J74" s="17" t="e">
        <f>'7A. Pagalbiniai skaičiavimai'!$X$110</f>
        <v>#VALUE!</v>
      </c>
      <c r="K74" s="17" t="e">
        <f>'7A. Pagalbiniai skaičiavimai'!$X$111</f>
        <v>#VALUE!</v>
      </c>
      <c r="L74" s="17" t="e">
        <f>'7A. Pagalbiniai skaičiavimai'!$X$112</f>
        <v>#VALUE!</v>
      </c>
      <c r="M74" s="17" t="e">
        <f>'7A. Pagalbiniai skaičiavimai'!$X$113</f>
        <v>#VALUE!</v>
      </c>
      <c r="N74" s="17" t="e">
        <f>'7A. Pagalbiniai skaičiavimai'!$X$114</f>
        <v>#VALUE!</v>
      </c>
      <c r="O74" s="17" t="e">
        <f>'7A. Pagalbiniai skaičiavimai'!$X$115</f>
        <v>#VALUE!</v>
      </c>
      <c r="P74" s="17" t="e">
        <f>'7A. Pagalbiniai skaičiavimai'!$X$116</f>
        <v>#VALUE!</v>
      </c>
      <c r="Q74" s="17" t="e">
        <f>'7A. Pagalbiniai skaičiavimai'!$X$117</f>
        <v>#VALUE!</v>
      </c>
      <c r="R74" s="17" t="e">
        <f>'7A. Pagalbiniai skaičiavimai'!$X$118</f>
        <v>#VALUE!</v>
      </c>
      <c r="S74" s="17" t="e">
        <f>'7A. Pagalbiniai skaičiavimai'!$X$119</f>
        <v>#VALUE!</v>
      </c>
      <c r="T74" s="3"/>
    </row>
    <row r="75" spans="1:20">
      <c r="A75" s="17">
        <v>9</v>
      </c>
      <c r="B75" s="17" t="str">
        <f t="shared" si="11"/>
        <v>Investicijos 1–9</v>
      </c>
      <c r="C75" s="54" t="str">
        <f>IF(SUM($C$42:C50)=0,"",D75/SUM($C$42:C50))</f>
        <v/>
      </c>
      <c r="D75" s="55">
        <f>IF(A75=0,0,SUM($F$42:F50))</f>
        <v>0</v>
      </c>
      <c r="E75" s="17" t="str">
        <f t="shared" si="12"/>
        <v/>
      </c>
      <c r="F75" s="17" t="str">
        <f t="shared" si="13"/>
        <v/>
      </c>
      <c r="G75" s="17" t="str">
        <f>IF(F75="","",IF(SUMIFS('7A. Pagalbiniai skaičiavimai'!$V$30:$V$239,'7A. Pagalbiniai skaičiavimai'!$A$30:$A$239,$A75,'7A. Pagalbiniai skaičiavimai'!$B$30:$B$239,$F75)&gt;5.5,"Net Debt / EBITDA",IF(SUMIFS('7A. Pagalbiniai skaičiavimai'!$W$30:$W$239,'7A. Pagalbiniai skaičiavimai'!$A$30:$A$239,$A75,'7A. Pagalbiniai skaičiavimai'!$B$30:$B$239,$F75)&lt;1.2,"DSCR","Abu")))</f>
        <v/>
      </c>
      <c r="H75" s="56" t="e">
        <f>IF(COUNTA('7A. Pagalbiniai skaičiavimai'!$V$120:$V$129)=0,"",MAX('7A. Pagalbiniai skaičiavimai'!$V$120:$V$129))</f>
        <v>#VALUE!</v>
      </c>
      <c r="I75" s="56" t="e">
        <f>IF(COUNTA('7A. Pagalbiniai skaičiavimai'!$W$120:$W$129)=0,"",MIN('7A. Pagalbiniai skaičiavimai'!$W$120:$W$129))</f>
        <v>#VALUE!</v>
      </c>
      <c r="J75" s="17" t="e">
        <f>'7A. Pagalbiniai skaičiavimai'!$X$120</f>
        <v>#VALUE!</v>
      </c>
      <c r="K75" s="17" t="e">
        <f>'7A. Pagalbiniai skaičiavimai'!$X$121</f>
        <v>#VALUE!</v>
      </c>
      <c r="L75" s="17" t="e">
        <f>'7A. Pagalbiniai skaičiavimai'!$X$122</f>
        <v>#VALUE!</v>
      </c>
      <c r="M75" s="17" t="e">
        <f>'7A. Pagalbiniai skaičiavimai'!$X$123</f>
        <v>#VALUE!</v>
      </c>
      <c r="N75" s="17" t="e">
        <f>'7A. Pagalbiniai skaičiavimai'!$X$124</f>
        <v>#VALUE!</v>
      </c>
      <c r="O75" s="17" t="e">
        <f>'7A. Pagalbiniai skaičiavimai'!$X$125</f>
        <v>#VALUE!</v>
      </c>
      <c r="P75" s="17" t="e">
        <f>'7A. Pagalbiniai skaičiavimai'!$X$126</f>
        <v>#VALUE!</v>
      </c>
      <c r="Q75" s="17" t="e">
        <f>'7A. Pagalbiniai skaičiavimai'!$X$127</f>
        <v>#VALUE!</v>
      </c>
      <c r="R75" s="17" t="e">
        <f>'7A. Pagalbiniai skaičiavimai'!$X$128</f>
        <v>#VALUE!</v>
      </c>
      <c r="S75" s="17" t="e">
        <f>'7A. Pagalbiniai skaičiavimai'!$X$129</f>
        <v>#VALUE!</v>
      </c>
      <c r="T75" s="3"/>
    </row>
    <row r="76" spans="1:20">
      <c r="A76" s="17">
        <v>10</v>
      </c>
      <c r="B76" s="17" t="str">
        <f t="shared" si="11"/>
        <v>Investicijos 1–10</v>
      </c>
      <c r="C76" s="54" t="str">
        <f>IF(SUM($C$42:C51)=0,"",D76/SUM($C$42:C51))</f>
        <v/>
      </c>
      <c r="D76" s="55">
        <f>IF(A76=0,0,SUM($F$42:F51))</f>
        <v>0</v>
      </c>
      <c r="E76" s="17" t="str">
        <f t="shared" si="12"/>
        <v/>
      </c>
      <c r="F76" s="17" t="str">
        <f t="shared" si="13"/>
        <v/>
      </c>
      <c r="G76" s="17" t="str">
        <f>IF(F76="","",IF(SUMIFS('7A. Pagalbiniai skaičiavimai'!$V$30:$V$239,'7A. Pagalbiniai skaičiavimai'!$A$30:$A$239,$A76,'7A. Pagalbiniai skaičiavimai'!$B$30:$B$239,$F76)&gt;5.5,"Net Debt / EBITDA",IF(SUMIFS('7A. Pagalbiniai skaičiavimai'!$W$30:$W$239,'7A. Pagalbiniai skaičiavimai'!$A$30:$A$239,$A76,'7A. Pagalbiniai skaičiavimai'!$B$30:$B$239,$F76)&lt;1.2,"DSCR","Abu")))</f>
        <v/>
      </c>
      <c r="H76" s="56" t="e">
        <f>IF(COUNTA('7A. Pagalbiniai skaičiavimai'!$V$130:$V$139)=0,"",MAX('7A. Pagalbiniai skaičiavimai'!$V$130:$V$139))</f>
        <v>#VALUE!</v>
      </c>
      <c r="I76" s="56" t="e">
        <f>IF(COUNTA('7A. Pagalbiniai skaičiavimai'!$W$130:$W$139)=0,"",MIN('7A. Pagalbiniai skaičiavimai'!$W$130:$W$139))</f>
        <v>#VALUE!</v>
      </c>
      <c r="J76" s="17" t="e">
        <f>'7A. Pagalbiniai skaičiavimai'!$X$130</f>
        <v>#VALUE!</v>
      </c>
      <c r="K76" s="17" t="e">
        <f>'7A. Pagalbiniai skaičiavimai'!$X$131</f>
        <v>#VALUE!</v>
      </c>
      <c r="L76" s="17" t="e">
        <f>'7A. Pagalbiniai skaičiavimai'!$X$132</f>
        <v>#VALUE!</v>
      </c>
      <c r="M76" s="17" t="e">
        <f>'7A. Pagalbiniai skaičiavimai'!$X$133</f>
        <v>#VALUE!</v>
      </c>
      <c r="N76" s="17" t="e">
        <f>'7A. Pagalbiniai skaičiavimai'!$X$134</f>
        <v>#VALUE!</v>
      </c>
      <c r="O76" s="17" t="e">
        <f>'7A. Pagalbiniai skaičiavimai'!$X$135</f>
        <v>#VALUE!</v>
      </c>
      <c r="P76" s="17" t="e">
        <f>'7A. Pagalbiniai skaičiavimai'!$X$136</f>
        <v>#VALUE!</v>
      </c>
      <c r="Q76" s="17" t="e">
        <f>'7A. Pagalbiniai skaičiavimai'!$X$137</f>
        <v>#VALUE!</v>
      </c>
      <c r="R76" s="17" t="e">
        <f>'7A. Pagalbiniai skaičiavimai'!$X$138</f>
        <v>#VALUE!</v>
      </c>
      <c r="S76" s="17" t="e">
        <f>'7A. Pagalbiniai skaičiavimai'!$X$139</f>
        <v>#VALUE!</v>
      </c>
      <c r="T76" s="3"/>
    </row>
    <row r="77" spans="1:20">
      <c r="A77" s="17">
        <v>11</v>
      </c>
      <c r="B77" s="17" t="str">
        <f t="shared" si="11"/>
        <v>Investicijos 1–11</v>
      </c>
      <c r="C77" s="54" t="str">
        <f>IF(SUM($C$42:C52)=0,"",D77/SUM($C$42:C52))</f>
        <v/>
      </c>
      <c r="D77" s="55">
        <f>IF(A77=0,0,SUM($F$42:F52))</f>
        <v>0</v>
      </c>
      <c r="E77" s="17" t="str">
        <f t="shared" si="12"/>
        <v/>
      </c>
      <c r="F77" s="17" t="str">
        <f t="shared" si="13"/>
        <v/>
      </c>
      <c r="G77" s="17" t="str">
        <f>IF(F77="","",IF(SUMIFS('7A. Pagalbiniai skaičiavimai'!$V$30:$V$239,'7A. Pagalbiniai skaičiavimai'!$A$30:$A$239,$A77,'7A. Pagalbiniai skaičiavimai'!$B$30:$B$239,$F77)&gt;5.5,"Net Debt / EBITDA",IF(SUMIFS('7A. Pagalbiniai skaičiavimai'!$W$30:$W$239,'7A. Pagalbiniai skaičiavimai'!$A$30:$A$239,$A77,'7A. Pagalbiniai skaičiavimai'!$B$30:$B$239,$F77)&lt;1.2,"DSCR","Abu")))</f>
        <v/>
      </c>
      <c r="H77" s="56" t="e">
        <f>IF(COUNTA('7A. Pagalbiniai skaičiavimai'!$V$140:$V$149)=0,"",MAX('7A. Pagalbiniai skaičiavimai'!$V$140:$V$149))</f>
        <v>#VALUE!</v>
      </c>
      <c r="I77" s="56" t="e">
        <f>IF(COUNTA('7A. Pagalbiniai skaičiavimai'!$W$140:$W$149)=0,"",MIN('7A. Pagalbiniai skaičiavimai'!$W$140:$W$149))</f>
        <v>#VALUE!</v>
      </c>
      <c r="J77" s="17" t="e">
        <f>'7A. Pagalbiniai skaičiavimai'!$X$140</f>
        <v>#VALUE!</v>
      </c>
      <c r="K77" s="17" t="e">
        <f>'7A. Pagalbiniai skaičiavimai'!$X$141</f>
        <v>#VALUE!</v>
      </c>
      <c r="L77" s="17" t="e">
        <f>'7A. Pagalbiniai skaičiavimai'!$X$142</f>
        <v>#VALUE!</v>
      </c>
      <c r="M77" s="17" t="e">
        <f>'7A. Pagalbiniai skaičiavimai'!$X$143</f>
        <v>#VALUE!</v>
      </c>
      <c r="N77" s="17" t="e">
        <f>'7A. Pagalbiniai skaičiavimai'!$X$144</f>
        <v>#VALUE!</v>
      </c>
      <c r="O77" s="17" t="e">
        <f>'7A. Pagalbiniai skaičiavimai'!$X$145</f>
        <v>#VALUE!</v>
      </c>
      <c r="P77" s="17" t="e">
        <f>'7A. Pagalbiniai skaičiavimai'!$X$146</f>
        <v>#VALUE!</v>
      </c>
      <c r="Q77" s="17" t="e">
        <f>'7A. Pagalbiniai skaičiavimai'!$X$147</f>
        <v>#VALUE!</v>
      </c>
      <c r="R77" s="17" t="e">
        <f>'7A. Pagalbiniai skaičiavimai'!$X$148</f>
        <v>#VALUE!</v>
      </c>
      <c r="S77" s="17" t="e">
        <f>'7A. Pagalbiniai skaičiavimai'!$X$149</f>
        <v>#VALUE!</v>
      </c>
      <c r="T77" s="3"/>
    </row>
    <row r="78" spans="1:20">
      <c r="A78" s="17">
        <v>12</v>
      </c>
      <c r="B78" s="17" t="str">
        <f t="shared" si="11"/>
        <v>Investicijos 1–12</v>
      </c>
      <c r="C78" s="54" t="str">
        <f>IF(SUM($C$42:C53)=0,"",D78/SUM($C$42:C53))</f>
        <v/>
      </c>
      <c r="D78" s="55">
        <f>IF(A78=0,0,SUM($F$42:F53))</f>
        <v>0</v>
      </c>
      <c r="E78" s="17" t="str">
        <f t="shared" si="12"/>
        <v/>
      </c>
      <c r="F78" s="17" t="str">
        <f t="shared" si="13"/>
        <v/>
      </c>
      <c r="G78" s="17" t="str">
        <f>IF(F78="","",IF(SUMIFS('7A. Pagalbiniai skaičiavimai'!$V$30:$V$239,'7A. Pagalbiniai skaičiavimai'!$A$30:$A$239,$A78,'7A. Pagalbiniai skaičiavimai'!$B$30:$B$239,$F78)&gt;5.5,"Net Debt / EBITDA",IF(SUMIFS('7A. Pagalbiniai skaičiavimai'!$W$30:$W$239,'7A. Pagalbiniai skaičiavimai'!$A$30:$A$239,$A78,'7A. Pagalbiniai skaičiavimai'!$B$30:$B$239,$F78)&lt;1.2,"DSCR","Abu")))</f>
        <v/>
      </c>
      <c r="H78" s="56" t="e">
        <f>IF(COUNTA('7A. Pagalbiniai skaičiavimai'!$V$150:$V$159)=0,"",MAX('7A. Pagalbiniai skaičiavimai'!$V$150:$V$159))</f>
        <v>#VALUE!</v>
      </c>
      <c r="I78" s="56" t="e">
        <f>IF(COUNTA('7A. Pagalbiniai skaičiavimai'!$W$150:$W$159)=0,"",MIN('7A. Pagalbiniai skaičiavimai'!$W$150:$W$159))</f>
        <v>#VALUE!</v>
      </c>
      <c r="J78" s="17" t="e">
        <f>'7A. Pagalbiniai skaičiavimai'!$X$150</f>
        <v>#VALUE!</v>
      </c>
      <c r="K78" s="17" t="e">
        <f>'7A. Pagalbiniai skaičiavimai'!$X$151</f>
        <v>#VALUE!</v>
      </c>
      <c r="L78" s="17" t="e">
        <f>'7A. Pagalbiniai skaičiavimai'!$X$152</f>
        <v>#VALUE!</v>
      </c>
      <c r="M78" s="17" t="e">
        <f>'7A. Pagalbiniai skaičiavimai'!$X$153</f>
        <v>#VALUE!</v>
      </c>
      <c r="N78" s="17" t="e">
        <f>'7A. Pagalbiniai skaičiavimai'!$X$154</f>
        <v>#VALUE!</v>
      </c>
      <c r="O78" s="17" t="e">
        <f>'7A. Pagalbiniai skaičiavimai'!$X$155</f>
        <v>#VALUE!</v>
      </c>
      <c r="P78" s="17" t="e">
        <f>'7A. Pagalbiniai skaičiavimai'!$X$156</f>
        <v>#VALUE!</v>
      </c>
      <c r="Q78" s="17" t="e">
        <f>'7A. Pagalbiniai skaičiavimai'!$X$157</f>
        <v>#VALUE!</v>
      </c>
      <c r="R78" s="17" t="e">
        <f>'7A. Pagalbiniai skaičiavimai'!$X$158</f>
        <v>#VALUE!</v>
      </c>
      <c r="S78" s="17" t="e">
        <f>'7A. Pagalbiniai skaičiavimai'!$X$159</f>
        <v>#VALUE!</v>
      </c>
      <c r="T78" s="3"/>
    </row>
    <row r="79" spans="1:20">
      <c r="A79" s="17">
        <v>13</v>
      </c>
      <c r="B79" s="17" t="str">
        <f t="shared" si="11"/>
        <v>Investicijos 1–13</v>
      </c>
      <c r="C79" s="54" t="str">
        <f>IF(SUM($C$42:C54)=0,"",D79/SUM($C$42:C54))</f>
        <v/>
      </c>
      <c r="D79" s="55">
        <f>IF(A79=0,0,SUM($F$42:F54))</f>
        <v>0</v>
      </c>
      <c r="E79" s="17" t="str">
        <f t="shared" si="12"/>
        <v/>
      </c>
      <c r="F79" s="17" t="str">
        <f t="shared" si="13"/>
        <v/>
      </c>
      <c r="G79" s="17" t="str">
        <f>IF(F79="","",IF(SUMIFS('7A. Pagalbiniai skaičiavimai'!$V$30:$V$239,'7A. Pagalbiniai skaičiavimai'!$A$30:$A$239,$A79,'7A. Pagalbiniai skaičiavimai'!$B$30:$B$239,$F79)&gt;5.5,"Net Debt / EBITDA",IF(SUMIFS('7A. Pagalbiniai skaičiavimai'!$W$30:$W$239,'7A. Pagalbiniai skaičiavimai'!$A$30:$A$239,$A79,'7A. Pagalbiniai skaičiavimai'!$B$30:$B$239,$F79)&lt;1.2,"DSCR","Abu")))</f>
        <v/>
      </c>
      <c r="H79" s="56" t="e">
        <f>IF(COUNTA('7A. Pagalbiniai skaičiavimai'!$V$160:$V$169)=0,"",MAX('7A. Pagalbiniai skaičiavimai'!$V$160:$V$169))</f>
        <v>#VALUE!</v>
      </c>
      <c r="I79" s="56" t="e">
        <f>IF(COUNTA('7A. Pagalbiniai skaičiavimai'!$W$160:$W$169)=0,"",MIN('7A. Pagalbiniai skaičiavimai'!$W$160:$W$169))</f>
        <v>#VALUE!</v>
      </c>
      <c r="J79" s="17" t="e">
        <f>'7A. Pagalbiniai skaičiavimai'!$X$160</f>
        <v>#VALUE!</v>
      </c>
      <c r="K79" s="17" t="e">
        <f>'7A. Pagalbiniai skaičiavimai'!$X$161</f>
        <v>#VALUE!</v>
      </c>
      <c r="L79" s="17" t="e">
        <f>'7A. Pagalbiniai skaičiavimai'!$X$162</f>
        <v>#VALUE!</v>
      </c>
      <c r="M79" s="17" t="e">
        <f>'7A. Pagalbiniai skaičiavimai'!$X$163</f>
        <v>#VALUE!</v>
      </c>
      <c r="N79" s="17" t="e">
        <f>'7A. Pagalbiniai skaičiavimai'!$X$164</f>
        <v>#VALUE!</v>
      </c>
      <c r="O79" s="17" t="e">
        <f>'7A. Pagalbiniai skaičiavimai'!$X$165</f>
        <v>#VALUE!</v>
      </c>
      <c r="P79" s="17" t="e">
        <f>'7A. Pagalbiniai skaičiavimai'!$X$166</f>
        <v>#VALUE!</v>
      </c>
      <c r="Q79" s="17" t="e">
        <f>'7A. Pagalbiniai skaičiavimai'!$X$167</f>
        <v>#VALUE!</v>
      </c>
      <c r="R79" s="17" t="e">
        <f>'7A. Pagalbiniai skaičiavimai'!$X$168</f>
        <v>#VALUE!</v>
      </c>
      <c r="S79" s="17" t="e">
        <f>'7A. Pagalbiniai skaičiavimai'!$X$169</f>
        <v>#VALUE!</v>
      </c>
      <c r="T79" s="3"/>
    </row>
    <row r="80" spans="1:20">
      <c r="A80" s="17">
        <v>14</v>
      </c>
      <c r="B80" s="17" t="str">
        <f t="shared" si="11"/>
        <v>Investicijos 1–14</v>
      </c>
      <c r="C80" s="54" t="str">
        <f>IF(SUM($C$42:C55)=0,"",D80/SUM($C$42:C55))</f>
        <v/>
      </c>
      <c r="D80" s="55">
        <f>IF(A80=0,0,SUM($F$42:F55))</f>
        <v>0</v>
      </c>
      <c r="E80" s="17" t="str">
        <f t="shared" si="12"/>
        <v/>
      </c>
      <c r="F80" s="17" t="str">
        <f t="shared" si="13"/>
        <v/>
      </c>
      <c r="G80" s="17" t="str">
        <f>IF(F80="","",IF(SUMIFS('7A. Pagalbiniai skaičiavimai'!$V$30:$V$239,'7A. Pagalbiniai skaičiavimai'!$A$30:$A$239,$A80,'7A. Pagalbiniai skaičiavimai'!$B$30:$B$239,$F80)&gt;5.5,"Net Debt / EBITDA",IF(SUMIFS('7A. Pagalbiniai skaičiavimai'!$W$30:$W$239,'7A. Pagalbiniai skaičiavimai'!$A$30:$A$239,$A80,'7A. Pagalbiniai skaičiavimai'!$B$30:$B$239,$F80)&lt;1.2,"DSCR","Abu")))</f>
        <v/>
      </c>
      <c r="H80" s="56" t="e">
        <f>IF(COUNTA('7A. Pagalbiniai skaičiavimai'!$V$170:$V$179)=0,"",MAX('7A. Pagalbiniai skaičiavimai'!$V$170:$V$179))</f>
        <v>#VALUE!</v>
      </c>
      <c r="I80" s="56" t="e">
        <f>IF(COUNTA('7A. Pagalbiniai skaičiavimai'!$W$170:$W$179)=0,"",MIN('7A. Pagalbiniai skaičiavimai'!$W$170:$W$179))</f>
        <v>#VALUE!</v>
      </c>
      <c r="J80" s="17" t="e">
        <f>'7A. Pagalbiniai skaičiavimai'!$X$170</f>
        <v>#VALUE!</v>
      </c>
      <c r="K80" s="17" t="e">
        <f>'7A. Pagalbiniai skaičiavimai'!$X$171</f>
        <v>#VALUE!</v>
      </c>
      <c r="L80" s="17" t="e">
        <f>'7A. Pagalbiniai skaičiavimai'!$X$172</f>
        <v>#VALUE!</v>
      </c>
      <c r="M80" s="17" t="e">
        <f>'7A. Pagalbiniai skaičiavimai'!$X$173</f>
        <v>#VALUE!</v>
      </c>
      <c r="N80" s="17" t="e">
        <f>'7A. Pagalbiniai skaičiavimai'!$X$174</f>
        <v>#VALUE!</v>
      </c>
      <c r="O80" s="17" t="e">
        <f>'7A. Pagalbiniai skaičiavimai'!$X$175</f>
        <v>#VALUE!</v>
      </c>
      <c r="P80" s="17" t="e">
        <f>'7A. Pagalbiniai skaičiavimai'!$X$176</f>
        <v>#VALUE!</v>
      </c>
      <c r="Q80" s="17" t="e">
        <f>'7A. Pagalbiniai skaičiavimai'!$X$177</f>
        <v>#VALUE!</v>
      </c>
      <c r="R80" s="17" t="e">
        <f>'7A. Pagalbiniai skaičiavimai'!$X$178</f>
        <v>#VALUE!</v>
      </c>
      <c r="S80" s="17" t="e">
        <f>'7A. Pagalbiniai skaičiavimai'!$X$179</f>
        <v>#VALUE!</v>
      </c>
      <c r="T80" s="3"/>
    </row>
    <row r="81" spans="1:20">
      <c r="A81" s="17">
        <v>15</v>
      </c>
      <c r="B81" s="17" t="str">
        <f t="shared" si="11"/>
        <v>Investicijos 1–15</v>
      </c>
      <c r="C81" s="54" t="str">
        <f>IF(SUM($C$42:C56)=0,"",D81/SUM($C$42:C56))</f>
        <v/>
      </c>
      <c r="D81" s="55">
        <f>IF(A81=0,0,SUM($F$42:F56))</f>
        <v>0</v>
      </c>
      <c r="E81" s="17" t="str">
        <f t="shared" si="12"/>
        <v/>
      </c>
      <c r="F81" s="17" t="str">
        <f t="shared" si="13"/>
        <v/>
      </c>
      <c r="G81" s="17" t="str">
        <f>IF(F81="","",IF(SUMIFS('7A. Pagalbiniai skaičiavimai'!$V$30:$V$239,'7A. Pagalbiniai skaičiavimai'!$A$30:$A$239,$A81,'7A. Pagalbiniai skaičiavimai'!$B$30:$B$239,$F81)&gt;5.5,"Net Debt / EBITDA",IF(SUMIFS('7A. Pagalbiniai skaičiavimai'!$W$30:$W$239,'7A. Pagalbiniai skaičiavimai'!$A$30:$A$239,$A81,'7A. Pagalbiniai skaičiavimai'!$B$30:$B$239,$F81)&lt;1.2,"DSCR","Abu")))</f>
        <v/>
      </c>
      <c r="H81" s="56" t="e">
        <f>IF(COUNTA('7A. Pagalbiniai skaičiavimai'!$V$180:$V$189)=0,"",MAX('7A. Pagalbiniai skaičiavimai'!$V$180:$V$189))</f>
        <v>#VALUE!</v>
      </c>
      <c r="I81" s="56" t="e">
        <f>IF(COUNTA('7A. Pagalbiniai skaičiavimai'!$W$180:$W$189)=0,"",MIN('7A. Pagalbiniai skaičiavimai'!$W$180:$W$189))</f>
        <v>#VALUE!</v>
      </c>
      <c r="J81" s="17" t="e">
        <f>'7A. Pagalbiniai skaičiavimai'!$X$180</f>
        <v>#VALUE!</v>
      </c>
      <c r="K81" s="17" t="e">
        <f>'7A. Pagalbiniai skaičiavimai'!$X$181</f>
        <v>#VALUE!</v>
      </c>
      <c r="L81" s="17" t="e">
        <f>'7A. Pagalbiniai skaičiavimai'!$X$182</f>
        <v>#VALUE!</v>
      </c>
      <c r="M81" s="17" t="e">
        <f>'7A. Pagalbiniai skaičiavimai'!$X$183</f>
        <v>#VALUE!</v>
      </c>
      <c r="N81" s="17" t="e">
        <f>'7A. Pagalbiniai skaičiavimai'!$X$184</f>
        <v>#VALUE!</v>
      </c>
      <c r="O81" s="17" t="e">
        <f>'7A. Pagalbiniai skaičiavimai'!$X$185</f>
        <v>#VALUE!</v>
      </c>
      <c r="P81" s="17" t="e">
        <f>'7A. Pagalbiniai skaičiavimai'!$X$186</f>
        <v>#VALUE!</v>
      </c>
      <c r="Q81" s="17" t="e">
        <f>'7A. Pagalbiniai skaičiavimai'!$X$187</f>
        <v>#VALUE!</v>
      </c>
      <c r="R81" s="17" t="e">
        <f>'7A. Pagalbiniai skaičiavimai'!$X$188</f>
        <v>#VALUE!</v>
      </c>
      <c r="S81" s="17" t="e">
        <f>'7A. Pagalbiniai skaičiavimai'!$X$189</f>
        <v>#VALUE!</v>
      </c>
      <c r="T81" s="3"/>
    </row>
    <row r="82" spans="1:20">
      <c r="A82" s="17">
        <v>16</v>
      </c>
      <c r="B82" s="17" t="str">
        <f t="shared" si="11"/>
        <v>Investicijos 1–16</v>
      </c>
      <c r="C82" s="54" t="str">
        <f>IF(SUM($C$42:C57)=0,"",D82/SUM($C$42:C57))</f>
        <v/>
      </c>
      <c r="D82" s="55">
        <f>IF(A82=0,0,SUM($F$42:F57))</f>
        <v>0</v>
      </c>
      <c r="E82" s="17" t="str">
        <f t="shared" si="12"/>
        <v/>
      </c>
      <c r="F82" s="17" t="str">
        <f t="shared" si="13"/>
        <v/>
      </c>
      <c r="G82" s="17" t="str">
        <f>IF(F82="","",IF(SUMIFS('7A. Pagalbiniai skaičiavimai'!$V$30:$V$239,'7A. Pagalbiniai skaičiavimai'!$A$30:$A$239,$A82,'7A. Pagalbiniai skaičiavimai'!$B$30:$B$239,$F82)&gt;5.5,"Net Debt / EBITDA",IF(SUMIFS('7A. Pagalbiniai skaičiavimai'!$W$30:$W$239,'7A. Pagalbiniai skaičiavimai'!$A$30:$A$239,$A82,'7A. Pagalbiniai skaičiavimai'!$B$30:$B$239,$F82)&lt;1.2,"DSCR","Abu")))</f>
        <v/>
      </c>
      <c r="H82" s="56" t="e">
        <f>IF(COUNTA('7A. Pagalbiniai skaičiavimai'!$V$190:$V$199)=0,"",MAX('7A. Pagalbiniai skaičiavimai'!$V$190:$V$199))</f>
        <v>#VALUE!</v>
      </c>
      <c r="I82" s="56" t="e">
        <f>IF(COUNTA('7A. Pagalbiniai skaičiavimai'!$W$190:$W$199)=0,"",MIN('7A. Pagalbiniai skaičiavimai'!$W$190:$W$199))</f>
        <v>#VALUE!</v>
      </c>
      <c r="J82" s="17" t="e">
        <f>'7A. Pagalbiniai skaičiavimai'!$X$190</f>
        <v>#VALUE!</v>
      </c>
      <c r="K82" s="17" t="e">
        <f>'7A. Pagalbiniai skaičiavimai'!$X$191</f>
        <v>#VALUE!</v>
      </c>
      <c r="L82" s="17" t="e">
        <f>'7A. Pagalbiniai skaičiavimai'!$X$192</f>
        <v>#VALUE!</v>
      </c>
      <c r="M82" s="17" t="e">
        <f>'7A. Pagalbiniai skaičiavimai'!$X$193</f>
        <v>#VALUE!</v>
      </c>
      <c r="N82" s="17" t="e">
        <f>'7A. Pagalbiniai skaičiavimai'!$X$194</f>
        <v>#VALUE!</v>
      </c>
      <c r="O82" s="17" t="e">
        <f>'7A. Pagalbiniai skaičiavimai'!$X$195</f>
        <v>#VALUE!</v>
      </c>
      <c r="P82" s="17" t="e">
        <f>'7A. Pagalbiniai skaičiavimai'!$X$196</f>
        <v>#VALUE!</v>
      </c>
      <c r="Q82" s="17" t="e">
        <f>'7A. Pagalbiniai skaičiavimai'!$X$197</f>
        <v>#VALUE!</v>
      </c>
      <c r="R82" s="17" t="e">
        <f>'7A. Pagalbiniai skaičiavimai'!$X$198</f>
        <v>#VALUE!</v>
      </c>
      <c r="S82" s="17" t="e">
        <f>'7A. Pagalbiniai skaičiavimai'!$X$199</f>
        <v>#VALUE!</v>
      </c>
      <c r="T82" s="3"/>
    </row>
    <row r="83" spans="1:20">
      <c r="A83" s="17">
        <v>17</v>
      </c>
      <c r="B83" s="17" t="str">
        <f t="shared" si="11"/>
        <v>Investicijos 1–17</v>
      </c>
      <c r="C83" s="54" t="str">
        <f>IF(SUM($C$42:C58)=0,"",D83/SUM($C$42:C58))</f>
        <v/>
      </c>
      <c r="D83" s="55">
        <f>IF(A83=0,0,SUM($F$42:F58))</f>
        <v>0</v>
      </c>
      <c r="E83" s="17" t="str">
        <f t="shared" si="12"/>
        <v/>
      </c>
      <c r="F83" s="17" t="str">
        <f t="shared" si="13"/>
        <v/>
      </c>
      <c r="G83" s="17" t="str">
        <f>IF(F83="","",IF(SUMIFS('7A. Pagalbiniai skaičiavimai'!$V$30:$V$239,'7A. Pagalbiniai skaičiavimai'!$A$30:$A$239,$A83,'7A. Pagalbiniai skaičiavimai'!$B$30:$B$239,$F83)&gt;5.5,"Net Debt / EBITDA",IF(SUMIFS('7A. Pagalbiniai skaičiavimai'!$W$30:$W$239,'7A. Pagalbiniai skaičiavimai'!$A$30:$A$239,$A83,'7A. Pagalbiniai skaičiavimai'!$B$30:$B$239,$F83)&lt;1.2,"DSCR","Abu")))</f>
        <v/>
      </c>
      <c r="H83" s="56" t="e">
        <f>IF(COUNTA('7A. Pagalbiniai skaičiavimai'!$V$200:$V$209)=0,"",MAX('7A. Pagalbiniai skaičiavimai'!$V$200:$V$209))</f>
        <v>#VALUE!</v>
      </c>
      <c r="I83" s="56" t="e">
        <f>IF(COUNTA('7A. Pagalbiniai skaičiavimai'!$W$200:$W$209)=0,"",MIN('7A. Pagalbiniai skaičiavimai'!$W$200:$W$209))</f>
        <v>#VALUE!</v>
      </c>
      <c r="J83" s="17" t="e">
        <f>'7A. Pagalbiniai skaičiavimai'!$X$200</f>
        <v>#VALUE!</v>
      </c>
      <c r="K83" s="17" t="e">
        <f>'7A. Pagalbiniai skaičiavimai'!$X$201</f>
        <v>#VALUE!</v>
      </c>
      <c r="L83" s="17" t="e">
        <f>'7A. Pagalbiniai skaičiavimai'!$X$202</f>
        <v>#VALUE!</v>
      </c>
      <c r="M83" s="17" t="e">
        <f>'7A. Pagalbiniai skaičiavimai'!$X$203</f>
        <v>#VALUE!</v>
      </c>
      <c r="N83" s="17" t="e">
        <f>'7A. Pagalbiniai skaičiavimai'!$X$204</f>
        <v>#VALUE!</v>
      </c>
      <c r="O83" s="17" t="e">
        <f>'7A. Pagalbiniai skaičiavimai'!$X$205</f>
        <v>#VALUE!</v>
      </c>
      <c r="P83" s="17" t="e">
        <f>'7A. Pagalbiniai skaičiavimai'!$X$206</f>
        <v>#VALUE!</v>
      </c>
      <c r="Q83" s="17" t="e">
        <f>'7A. Pagalbiniai skaičiavimai'!$X$207</f>
        <v>#VALUE!</v>
      </c>
      <c r="R83" s="17" t="e">
        <f>'7A. Pagalbiniai skaičiavimai'!$X$208</f>
        <v>#VALUE!</v>
      </c>
      <c r="S83" s="17" t="e">
        <f>'7A. Pagalbiniai skaičiavimai'!$X$209</f>
        <v>#VALUE!</v>
      </c>
      <c r="T83" s="3"/>
    </row>
    <row r="84" spans="1:20">
      <c r="A84" s="17">
        <v>18</v>
      </c>
      <c r="B84" s="17" t="str">
        <f t="shared" si="11"/>
        <v>Investicijos 1–18</v>
      </c>
      <c r="C84" s="54" t="str">
        <f>IF(SUM($C$42:C59)=0,"",D84/SUM($C$42:C59))</f>
        <v/>
      </c>
      <c r="D84" s="55">
        <f>IF(A84=0,0,SUM($F$42:F59))</f>
        <v>0</v>
      </c>
      <c r="E84" s="17" t="str">
        <f t="shared" si="12"/>
        <v/>
      </c>
      <c r="F84" s="17" t="str">
        <f t="shared" si="13"/>
        <v/>
      </c>
      <c r="G84" s="17" t="str">
        <f>IF(F84="","",IF(SUMIFS('7A. Pagalbiniai skaičiavimai'!$V$30:$V$239,'7A. Pagalbiniai skaičiavimai'!$A$30:$A$239,$A84,'7A. Pagalbiniai skaičiavimai'!$B$30:$B$239,$F84)&gt;5.5,"Net Debt / EBITDA",IF(SUMIFS('7A. Pagalbiniai skaičiavimai'!$W$30:$W$239,'7A. Pagalbiniai skaičiavimai'!$A$30:$A$239,$A84,'7A. Pagalbiniai skaičiavimai'!$B$30:$B$239,$F84)&lt;1.2,"DSCR","Abu")))</f>
        <v/>
      </c>
      <c r="H84" s="56" t="e">
        <f>IF(COUNTA('7A. Pagalbiniai skaičiavimai'!$V$210:$V$219)=0,"",MAX('7A. Pagalbiniai skaičiavimai'!$V$210:$V$219))</f>
        <v>#VALUE!</v>
      </c>
      <c r="I84" s="56" t="e">
        <f>IF(COUNTA('7A. Pagalbiniai skaičiavimai'!$W$210:$W$219)=0,"",MIN('7A. Pagalbiniai skaičiavimai'!$W$210:$W$219))</f>
        <v>#VALUE!</v>
      </c>
      <c r="J84" s="17" t="e">
        <f>'7A. Pagalbiniai skaičiavimai'!$X$210</f>
        <v>#VALUE!</v>
      </c>
      <c r="K84" s="17" t="e">
        <f>'7A. Pagalbiniai skaičiavimai'!$X$211</f>
        <v>#VALUE!</v>
      </c>
      <c r="L84" s="17" t="e">
        <f>'7A. Pagalbiniai skaičiavimai'!$X$212</f>
        <v>#VALUE!</v>
      </c>
      <c r="M84" s="17" t="e">
        <f>'7A. Pagalbiniai skaičiavimai'!$X$213</f>
        <v>#VALUE!</v>
      </c>
      <c r="N84" s="17" t="e">
        <f>'7A. Pagalbiniai skaičiavimai'!$X$214</f>
        <v>#VALUE!</v>
      </c>
      <c r="O84" s="17" t="e">
        <f>'7A. Pagalbiniai skaičiavimai'!$X$215</f>
        <v>#VALUE!</v>
      </c>
      <c r="P84" s="17" t="e">
        <f>'7A. Pagalbiniai skaičiavimai'!$X$216</f>
        <v>#VALUE!</v>
      </c>
      <c r="Q84" s="17" t="e">
        <f>'7A. Pagalbiniai skaičiavimai'!$X$217</f>
        <v>#VALUE!</v>
      </c>
      <c r="R84" s="17" t="e">
        <f>'7A. Pagalbiniai skaičiavimai'!$X$218</f>
        <v>#VALUE!</v>
      </c>
      <c r="S84" s="17" t="e">
        <f>'7A. Pagalbiniai skaičiavimai'!$X$219</f>
        <v>#VALUE!</v>
      </c>
      <c r="T84" s="3"/>
    </row>
    <row r="85" spans="1:20">
      <c r="A85" s="17">
        <v>19</v>
      </c>
      <c r="B85" s="17" t="str">
        <f t="shared" si="11"/>
        <v>Investicijos 1–19</v>
      </c>
      <c r="C85" s="54" t="str">
        <f>IF(SUM($C$42:C60)=0,"",D85/SUM($C$42:C60))</f>
        <v/>
      </c>
      <c r="D85" s="55">
        <f>IF(A85=0,0,SUM($F$42:F60))</f>
        <v>0</v>
      </c>
      <c r="E85" s="17" t="str">
        <f t="shared" si="12"/>
        <v/>
      </c>
      <c r="F85" s="17" t="str">
        <f t="shared" si="13"/>
        <v/>
      </c>
      <c r="G85" s="17" t="str">
        <f>IF(F85="","",IF(SUMIFS('7A. Pagalbiniai skaičiavimai'!$V$30:$V$239,'7A. Pagalbiniai skaičiavimai'!$A$30:$A$239,$A85,'7A. Pagalbiniai skaičiavimai'!$B$30:$B$239,$F85)&gt;5.5,"Net Debt / EBITDA",IF(SUMIFS('7A. Pagalbiniai skaičiavimai'!$W$30:$W$239,'7A. Pagalbiniai skaičiavimai'!$A$30:$A$239,$A85,'7A. Pagalbiniai skaičiavimai'!$B$30:$B$239,$F85)&lt;1.2,"DSCR","Abu")))</f>
        <v/>
      </c>
      <c r="H85" s="56" t="e">
        <f>IF(COUNTA('7A. Pagalbiniai skaičiavimai'!$V$220:$V$229)=0,"",MAX('7A. Pagalbiniai skaičiavimai'!$V$220:$V$229))</f>
        <v>#VALUE!</v>
      </c>
      <c r="I85" s="56" t="e">
        <f>IF(COUNTA('7A. Pagalbiniai skaičiavimai'!$W$220:$W$229)=0,"",MIN('7A. Pagalbiniai skaičiavimai'!$W$220:$W$229))</f>
        <v>#VALUE!</v>
      </c>
      <c r="J85" s="17" t="e">
        <f>'7A. Pagalbiniai skaičiavimai'!$X$220</f>
        <v>#VALUE!</v>
      </c>
      <c r="K85" s="17" t="e">
        <f>'7A. Pagalbiniai skaičiavimai'!$X$221</f>
        <v>#VALUE!</v>
      </c>
      <c r="L85" s="17" t="e">
        <f>'7A. Pagalbiniai skaičiavimai'!$X$222</f>
        <v>#VALUE!</v>
      </c>
      <c r="M85" s="17" t="e">
        <f>'7A. Pagalbiniai skaičiavimai'!$X$223</f>
        <v>#VALUE!</v>
      </c>
      <c r="N85" s="17" t="e">
        <f>'7A. Pagalbiniai skaičiavimai'!$X$224</f>
        <v>#VALUE!</v>
      </c>
      <c r="O85" s="17" t="e">
        <f>'7A. Pagalbiniai skaičiavimai'!$X$225</f>
        <v>#VALUE!</v>
      </c>
      <c r="P85" s="17" t="e">
        <f>'7A. Pagalbiniai skaičiavimai'!$X$226</f>
        <v>#VALUE!</v>
      </c>
      <c r="Q85" s="17" t="e">
        <f>'7A. Pagalbiniai skaičiavimai'!$X$227</f>
        <v>#VALUE!</v>
      </c>
      <c r="R85" s="17" t="e">
        <f>'7A. Pagalbiniai skaičiavimai'!$X$228</f>
        <v>#VALUE!</v>
      </c>
      <c r="S85" s="17" t="e">
        <f>'7A. Pagalbiniai skaičiavimai'!$X$229</f>
        <v>#VALUE!</v>
      </c>
      <c r="T85" s="3"/>
    </row>
    <row r="86" spans="1:20">
      <c r="A86" s="17">
        <v>20</v>
      </c>
      <c r="B86" s="17" t="str">
        <f t="shared" si="11"/>
        <v>Investicijos 1–20</v>
      </c>
      <c r="C86" s="54" t="str">
        <f>IF(SUM($C$42:C61)=0,"",D86/SUM($C$42:C61))</f>
        <v/>
      </c>
      <c r="D86" s="55">
        <f>IF(A86=0,0,SUM($F$42:F61))</f>
        <v>0</v>
      </c>
      <c r="E86" s="17" t="str">
        <f t="shared" si="12"/>
        <v/>
      </c>
      <c r="F86" s="17" t="str">
        <f t="shared" si="13"/>
        <v/>
      </c>
      <c r="G86" s="17" t="str">
        <f>IF(F86="","",IF(SUMIFS('7A. Pagalbiniai skaičiavimai'!$V$30:$V$239,'7A. Pagalbiniai skaičiavimai'!$A$30:$A$239,$A86,'7A. Pagalbiniai skaičiavimai'!$B$30:$B$239,$F86)&gt;5.5,"Net Debt / EBITDA",IF(SUMIFS('7A. Pagalbiniai skaičiavimai'!$W$30:$W$239,'7A. Pagalbiniai skaičiavimai'!$A$30:$A$239,$A86,'7A. Pagalbiniai skaičiavimai'!$B$30:$B$239,$F86)&lt;1.2,"DSCR","Abu")))</f>
        <v/>
      </c>
      <c r="H86" s="56" t="e">
        <f>IF(COUNTA('7A. Pagalbiniai skaičiavimai'!$V$230:$V$239)=0,"",MAX('7A. Pagalbiniai skaičiavimai'!$V$230:$V$239))</f>
        <v>#VALUE!</v>
      </c>
      <c r="I86" s="56" t="e">
        <f>IF(COUNTA('7A. Pagalbiniai skaičiavimai'!$W$230:$W$239)=0,"",MIN('7A. Pagalbiniai skaičiavimai'!$W$230:$W$239))</f>
        <v>#VALUE!</v>
      </c>
      <c r="J86" s="17" t="e">
        <f>'7A. Pagalbiniai skaičiavimai'!$X$230</f>
        <v>#VALUE!</v>
      </c>
      <c r="K86" s="17" t="e">
        <f>'7A. Pagalbiniai skaičiavimai'!$X$231</f>
        <v>#VALUE!</v>
      </c>
      <c r="L86" s="17" t="e">
        <f>'7A. Pagalbiniai skaičiavimai'!$X$232</f>
        <v>#VALUE!</v>
      </c>
      <c r="M86" s="17" t="e">
        <f>'7A. Pagalbiniai skaičiavimai'!$X$233</f>
        <v>#VALUE!</v>
      </c>
      <c r="N86" s="17" t="e">
        <f>'7A. Pagalbiniai skaičiavimai'!$X$234</f>
        <v>#VALUE!</v>
      </c>
      <c r="O86" s="17" t="e">
        <f>'7A. Pagalbiniai skaičiavimai'!$X$235</f>
        <v>#VALUE!</v>
      </c>
      <c r="P86" s="17" t="e">
        <f>'7A. Pagalbiniai skaičiavimai'!$X$236</f>
        <v>#VALUE!</v>
      </c>
      <c r="Q86" s="17" t="e">
        <f>'7A. Pagalbiniai skaičiavimai'!$X$237</f>
        <v>#VALUE!</v>
      </c>
      <c r="R86" s="17" t="e">
        <f>'7A. Pagalbiniai skaičiavimai'!$X$238</f>
        <v>#VALUE!</v>
      </c>
      <c r="S86" s="17" t="e">
        <f>'7A. Pagalbiniai skaičiavimai'!$X$239</f>
        <v>#VALUE!</v>
      </c>
      <c r="T86" s="3"/>
    </row>
    <row r="87" spans="1:20">
      <c r="A87" s="2"/>
      <c r="B87" s="2"/>
      <c r="C87" s="2"/>
      <c r="D87" s="2"/>
      <c r="E87" s="2"/>
      <c r="F87" s="2"/>
      <c r="G87" s="2"/>
      <c r="H87" s="2"/>
      <c r="I87" s="2"/>
      <c r="J87" s="2"/>
      <c r="K87" s="2"/>
      <c r="L87" s="2"/>
      <c r="M87" s="2"/>
      <c r="N87" s="2"/>
      <c r="O87" s="2"/>
      <c r="P87" s="2"/>
      <c r="Q87" s="2"/>
      <c r="R87" s="2"/>
      <c r="S87" s="2"/>
      <c r="T87" s="2"/>
    </row>
    <row r="88" spans="1:20">
      <c r="A88" s="24" t="s">
        <v>52</v>
      </c>
      <c r="B88" s="23" t="str">
        <f>IF(E66="","",IF(E66="NEATITINKA","BAZĖ JAU NEATITINKA",IF(COUNTIF(E67:E86,"NEATITINKA")=0,"LŪŽIO NĖRA","LŪŽIS")))</f>
        <v/>
      </c>
      <c r="C88" s="23"/>
      <c r="D88" s="23"/>
      <c r="E88" s="23"/>
      <c r="F88" s="23"/>
      <c r="G88" s="23"/>
      <c r="H88" s="23"/>
      <c r="I88" s="2"/>
      <c r="J88" s="2"/>
      <c r="K88" s="2"/>
      <c r="L88" s="2"/>
      <c r="M88" s="2"/>
      <c r="N88" s="2"/>
      <c r="O88" s="2"/>
      <c r="P88" s="2"/>
      <c r="Q88" s="2"/>
      <c r="R88" s="2"/>
      <c r="S88" s="2"/>
      <c r="T88" s="2"/>
    </row>
    <row r="89" spans="1:20">
      <c r="A89" s="24" t="s">
        <v>44</v>
      </c>
      <c r="B89" s="23" t="str">
        <f>IF(B88="","",IF(B88="BAZĖ JAU NEATITINKA",F66,IF(B88="LŪŽIO NĖRA","–",INDEX(F67:F86,MATCH("NEATITINKA",E67:E86,0)))))</f>
        <v/>
      </c>
      <c r="C89" s="23"/>
      <c r="D89" s="23"/>
      <c r="E89" s="23"/>
      <c r="F89" s="23"/>
      <c r="G89" s="23"/>
      <c r="H89" s="23"/>
      <c r="I89" s="2"/>
      <c r="J89" s="2"/>
      <c r="K89" s="2"/>
      <c r="L89" s="2"/>
      <c r="M89" s="2"/>
      <c r="N89" s="2"/>
      <c r="O89" s="2"/>
      <c r="P89" s="2"/>
      <c r="Q89" s="2"/>
      <c r="R89" s="2"/>
      <c r="S89" s="2"/>
      <c r="T89" s="2"/>
    </row>
    <row r="90" spans="1:20">
      <c r="A90" s="24" t="s">
        <v>53</v>
      </c>
      <c r="B90" s="23" t="str">
        <f>IF(B88="","",IF(B88="BAZĖ JAU NEATITINKA","Bazė",IF(B88="LŪŽIO NĖRA","–",INDEX(B67:B86,MATCH("NEATITINKA",E67:E86,0)))))</f>
        <v/>
      </c>
      <c r="C90" s="23"/>
      <c r="D90" s="23"/>
      <c r="E90" s="23"/>
      <c r="F90" s="23"/>
      <c r="G90" s="23"/>
      <c r="H90" s="23"/>
      <c r="I90" s="2"/>
      <c r="J90" s="2"/>
      <c r="K90" s="2"/>
      <c r="L90" s="2"/>
      <c r="M90" s="2"/>
      <c r="N90" s="2"/>
      <c r="O90" s="2"/>
      <c r="P90" s="2"/>
      <c r="Q90" s="2"/>
      <c r="R90" s="2"/>
      <c r="S90" s="2"/>
      <c r="T90" s="2"/>
    </row>
    <row r="91" spans="1:20">
      <c r="A91" s="24" t="s">
        <v>171</v>
      </c>
      <c r="B91" s="23" t="str" cm="1">
        <f t="array" ref="B91">IF(E86="","",IF(AND(SUMPRODUCT(--(TRANSPOSE('7A. Pagalbiniai skaičiavimai'!$X$230:$X$239)=C31:L31))=10,SUMPRODUCT(--(ABS(TRANSPOSE('7A. Pagalbiniai skaičiavimai'!$T$230:$T$239)-C14:L14)&lt;0.01))=10,SUMPRODUCT(--(ABS(TRANSPOSE('7A. Pagalbiniai skaičiavimai'!$N$230:$N$239)-C20:L20)&lt;0.01))=10,SUMPRODUCT(--(ABS(TRANSPOSE('7A. Pagalbiniai skaičiavimai'!$R$230:$R$239)-C27:L27)&lt;0.01))=10,SUMPRODUCT(--(ABS(TRANSPOSE('7A. Pagalbiniai skaičiavimai'!$V$230:$V$239)-C29:L29)&lt;0.000001))=10,SUMPRODUCT(--(ABS(TRANSPOSE('7A. Pagalbiniai skaičiavimai'!$W$230:$W$239)-C30:L30)&lt;0.000001))=10),"OK","NEATITINKA"))</f>
        <v/>
      </c>
      <c r="C91" s="23"/>
      <c r="D91" s="23"/>
      <c r="E91" s="23"/>
      <c r="F91" s="23"/>
      <c r="G91" s="23"/>
      <c r="H91" s="23"/>
      <c r="I91" s="2"/>
      <c r="J91" s="2"/>
      <c r="K91" s="2"/>
      <c r="L91" s="2"/>
      <c r="M91" s="2"/>
      <c r="N91" s="2"/>
      <c r="O91" s="2"/>
      <c r="P91" s="2"/>
      <c r="Q91" s="2"/>
      <c r="R91" s="2"/>
      <c r="S91" s="2"/>
      <c r="T91" s="2"/>
    </row>
    <row r="92" spans="1:20">
      <c r="A92" s="2"/>
      <c r="B92" s="2"/>
      <c r="C92" s="2"/>
      <c r="D92" s="2"/>
      <c r="E92" s="2"/>
      <c r="F92" s="2"/>
      <c r="G92" s="2"/>
      <c r="H92" s="2"/>
      <c r="I92" s="2"/>
      <c r="J92" s="2"/>
      <c r="K92" s="2"/>
      <c r="L92" s="2"/>
      <c r="M92" s="2"/>
      <c r="N92" s="2"/>
      <c r="O92" s="2"/>
      <c r="P92" s="2"/>
      <c r="Q92" s="2"/>
      <c r="R92" s="2"/>
      <c r="S92" s="2"/>
      <c r="T92" s="2"/>
    </row>
    <row r="93" spans="1:20" ht="42" customHeight="1">
      <c r="A93" s="130" t="s">
        <v>211</v>
      </c>
      <c r="B93" s="130"/>
      <c r="C93" s="130"/>
      <c r="D93" s="130"/>
      <c r="E93" s="130"/>
      <c r="F93" s="130"/>
      <c r="G93" s="130"/>
      <c r="H93" s="130"/>
      <c r="I93" s="130"/>
      <c r="J93" s="130"/>
      <c r="K93" s="130"/>
      <c r="L93" s="130"/>
      <c r="M93" s="130"/>
      <c r="N93" s="130"/>
      <c r="O93" s="130"/>
      <c r="P93" s="130"/>
      <c r="Q93" s="130"/>
      <c r="R93" s="2"/>
      <c r="S93" s="2"/>
      <c r="T93" s="2"/>
    </row>
  </sheetData>
  <sheetProtection algorithmName="SHA-512" hashValue="BEO6AQN1ZZv0eGKpCjE22TeehpfBMPl1231n7+iAe4luz2ET6i7t28rHEyPHvoOmQOAeTRN3TQixLrXL2qjuSA==" saltValue="oGo7PcZNQQBglsVRHVtkLw==" spinCount="100000" sheet="1" objects="1" scenarios="1"/>
  <mergeCells count="4">
    <mergeCell ref="A1:T1"/>
    <mergeCell ref="A2:T2"/>
    <mergeCell ref="A40:G40"/>
    <mergeCell ref="A93:Q93"/>
  </mergeCells>
  <conditionalFormatting sqref="B91">
    <cfRule type="expression" dxfId="17" priority="3">
      <formula>B91="OK"</formula>
    </cfRule>
    <cfRule type="expression" dxfId="16" priority="4">
      <formula>B91="NEATITINKA"</formula>
    </cfRule>
  </conditionalFormatting>
  <conditionalFormatting sqref="C30:L31">
    <cfRule type="expression" dxfId="15" priority="5">
      <formula>C30="ATITINKA"</formula>
    </cfRule>
    <cfRule type="expression" dxfId="14" priority="6">
      <formula>C30="NEATITINKA"</formula>
    </cfRule>
  </conditionalFormatting>
  <conditionalFormatting sqref="E66:E86">
    <cfRule type="expression" dxfId="13" priority="15">
      <formula>E66="ATITINKA"</formula>
    </cfRule>
    <cfRule type="expression" dxfId="12" priority="16">
      <formula>E66="NEATITINKA"</formula>
    </cfRule>
  </conditionalFormatting>
  <conditionalFormatting sqref="F37">
    <cfRule type="expression" dxfId="11" priority="9">
      <formula>F37="ATITINKA"</formula>
    </cfRule>
    <cfRule type="expression" dxfId="10" priority="10">
      <formula>F37="NEATITINKA"</formula>
    </cfRule>
  </conditionalFormatting>
  <conditionalFormatting sqref="F38:F39">
    <cfRule type="expression" dxfId="9" priority="1">
      <formula>F38="OK"</formula>
    </cfRule>
    <cfRule type="expression" dxfId="8" priority="2">
      <formula>F38="NEATITINKA"</formula>
    </cfRule>
  </conditionalFormatting>
  <conditionalFormatting sqref="J66:S86">
    <cfRule type="expression" dxfId="7" priority="11">
      <formula>J66="ATITINKA"</formula>
    </cfRule>
    <cfRule type="expression" dxfId="6" priority="12">
      <formula>J66="NEATITINKA"</formula>
    </cfRule>
  </conditionalFormatting>
  <conditionalFormatting sqref="T66:T86">
    <cfRule type="expression" dxfId="5" priority="17">
      <formula>T66="OK"</formula>
    </cfRule>
    <cfRule type="expression" dxfId="4" priority="18">
      <formula>T66="NEATITINKA"</formula>
    </cfRule>
  </conditionalFormatting>
  <conditionalFormatting sqref="T86">
    <cfRule type="expression" dxfId="3" priority="13">
      <formula>T86="OK"</formula>
    </cfRule>
    <cfRule type="expression" dxfId="2" priority="14">
      <formula>T86="NEATITINKA"</formula>
    </cfRule>
  </conditionalFormatting>
  <dataValidations count="2">
    <dataValidation type="list" sqref="C5" xr:uid="{757FD467-6713-4C8B-BB5A-960FAA29A6F5}">
      <formula1>"1,2"</formula1>
    </dataValidation>
    <dataValidation type="decimal" allowBlank="1" showInputMessage="1" showErrorMessage="1" sqref="C6" xr:uid="{387A37AD-F9F7-4F0E-BCD7-AA96F2C96C2C}">
      <formula1>0</formula1>
      <formula2>1</formula2>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52370-6085-4FD5-AD7A-AB8830F3446F}">
  <dimension ref="A1:AS239"/>
  <sheetViews>
    <sheetView workbookViewId="0">
      <pane xSplit="5" ySplit="4" topLeftCell="F5" activePane="bottomRight" state="frozen"/>
      <selection pane="topRight" activeCell="F1" sqref="F1"/>
      <selection pane="bottomLeft" activeCell="A5" sqref="A5"/>
      <selection pane="bottomRight" activeCell="J24" sqref="J24"/>
    </sheetView>
  </sheetViews>
  <sheetFormatPr defaultRowHeight="14"/>
  <cols>
    <col min="1" max="1" width="8.6640625" customWidth="1"/>
    <col min="2" max="2" width="36.6640625" customWidth="1"/>
    <col min="3" max="5" width="14.6640625" customWidth="1"/>
    <col min="6" max="45" width="11.33203125" customWidth="1"/>
  </cols>
  <sheetData>
    <row r="1" spans="1:45" ht="19.5">
      <c r="A1" s="120" t="s">
        <v>212</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row>
    <row r="2" spans="1:45">
      <c r="A2" s="136" t="s">
        <v>213</v>
      </c>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c r="AL2" s="136"/>
      <c r="AM2" s="136"/>
      <c r="AN2" s="136"/>
      <c r="AO2" s="136"/>
      <c r="AP2" s="136"/>
      <c r="AQ2" s="136"/>
      <c r="AR2" s="136"/>
      <c r="AS2" s="136"/>
    </row>
    <row r="3" spans="1:45">
      <c r="A3" s="57"/>
      <c r="B3" s="57"/>
      <c r="C3" s="57"/>
      <c r="D3" s="57"/>
      <c r="E3" s="57"/>
      <c r="F3" s="137" t="s">
        <v>170</v>
      </c>
      <c r="G3" s="137"/>
      <c r="H3" s="137"/>
      <c r="I3" s="137"/>
      <c r="J3" s="137"/>
      <c r="K3" s="137"/>
      <c r="L3" s="137"/>
      <c r="M3" s="137"/>
      <c r="N3" s="137"/>
      <c r="O3" s="137"/>
      <c r="P3" s="137" t="s">
        <v>152</v>
      </c>
      <c r="Q3" s="137"/>
      <c r="R3" s="137"/>
      <c r="S3" s="137"/>
      <c r="T3" s="137"/>
      <c r="U3" s="137"/>
      <c r="V3" s="137"/>
      <c r="W3" s="137"/>
      <c r="X3" s="137"/>
      <c r="Y3" s="137"/>
      <c r="Z3" s="137" t="s">
        <v>153</v>
      </c>
      <c r="AA3" s="137"/>
      <c r="AB3" s="137"/>
      <c r="AC3" s="137"/>
      <c r="AD3" s="137"/>
      <c r="AE3" s="137"/>
      <c r="AF3" s="137"/>
      <c r="AG3" s="137"/>
      <c r="AH3" s="137"/>
      <c r="AI3" s="137"/>
      <c r="AJ3" s="137" t="s">
        <v>154</v>
      </c>
      <c r="AK3" s="137"/>
      <c r="AL3" s="137"/>
      <c r="AM3" s="137"/>
      <c r="AN3" s="137"/>
      <c r="AO3" s="137"/>
      <c r="AP3" s="137"/>
      <c r="AQ3" s="137"/>
      <c r="AR3" s="137"/>
      <c r="AS3" s="137"/>
    </row>
    <row r="4" spans="1:45">
      <c r="A4" s="65" t="s">
        <v>1</v>
      </c>
      <c r="B4" s="65" t="s">
        <v>32</v>
      </c>
      <c r="C4" s="65" t="s">
        <v>169</v>
      </c>
      <c r="D4" s="65" t="s">
        <v>149</v>
      </c>
      <c r="E4" s="65" t="s">
        <v>150</v>
      </c>
      <c r="F4" s="64">
        <v>2026</v>
      </c>
      <c r="G4" s="64">
        <v>2027</v>
      </c>
      <c r="H4" s="64">
        <v>2028</v>
      </c>
      <c r="I4" s="64">
        <v>2029</v>
      </c>
      <c r="J4" s="64">
        <v>2030</v>
      </c>
      <c r="K4" s="64">
        <v>2031</v>
      </c>
      <c r="L4" s="64">
        <v>2032</v>
      </c>
      <c r="M4" s="64">
        <v>2033</v>
      </c>
      <c r="N4" s="64">
        <v>2034</v>
      </c>
      <c r="O4" s="64">
        <v>2035</v>
      </c>
      <c r="P4" s="64">
        <v>2026</v>
      </c>
      <c r="Q4" s="64">
        <v>2027</v>
      </c>
      <c r="R4" s="64">
        <v>2028</v>
      </c>
      <c r="S4" s="64">
        <v>2029</v>
      </c>
      <c r="T4" s="64">
        <v>2030</v>
      </c>
      <c r="U4" s="64">
        <v>2031</v>
      </c>
      <c r="V4" s="64">
        <v>2032</v>
      </c>
      <c r="W4" s="64">
        <v>2033</v>
      </c>
      <c r="X4" s="64">
        <v>2034</v>
      </c>
      <c r="Y4" s="64">
        <v>2035</v>
      </c>
      <c r="Z4" s="64">
        <v>2026</v>
      </c>
      <c r="AA4" s="64">
        <v>2027</v>
      </c>
      <c r="AB4" s="64">
        <v>2028</v>
      </c>
      <c r="AC4" s="64">
        <v>2029</v>
      </c>
      <c r="AD4" s="64">
        <v>2030</v>
      </c>
      <c r="AE4" s="64">
        <v>2031</v>
      </c>
      <c r="AF4" s="64">
        <v>2032</v>
      </c>
      <c r="AG4" s="64">
        <v>2033</v>
      </c>
      <c r="AH4" s="64">
        <v>2034</v>
      </c>
      <c r="AI4" s="64">
        <v>2035</v>
      </c>
      <c r="AJ4" s="64">
        <v>2026</v>
      </c>
      <c r="AK4" s="64">
        <v>2027</v>
      </c>
      <c r="AL4" s="64">
        <v>2028</v>
      </c>
      <c r="AM4" s="64">
        <v>2029</v>
      </c>
      <c r="AN4" s="64">
        <v>2030</v>
      </c>
      <c r="AO4" s="64">
        <v>2031</v>
      </c>
      <c r="AP4" s="64">
        <v>2032</v>
      </c>
      <c r="AQ4" s="64">
        <v>2033</v>
      </c>
      <c r="AR4" s="64">
        <v>2034</v>
      </c>
      <c r="AS4" s="64">
        <v>2035</v>
      </c>
    </row>
    <row r="5" spans="1:45">
      <c r="A5" s="57" t="str">
        <f>'2. Investicijos'!A5</f>
        <v>1.</v>
      </c>
      <c r="B5" s="57">
        <f>'2. Investicijos'!B5</f>
        <v>0</v>
      </c>
      <c r="C5" s="69">
        <f>MAX(0,'2. Investicijos'!N5-'2. Investicijos'!H5*'7. Pasirinktinis scenarijus'!$C$6)</f>
        <v>0</v>
      </c>
      <c r="D5" s="70">
        <f>IF('2. Investicijos'!O5="",0,'2. Investicijos'!O5/100)</f>
        <v>0</v>
      </c>
      <c r="E5" s="71">
        <f>IF('2. Investicijos'!P5="",0,'2. Investicijos'!P5)</f>
        <v>0</v>
      </c>
      <c r="F5" s="69">
        <f>IFERROR('4. Metinis CAPEX'!F9/'2. Investicijos'!H5*$C5,0)</f>
        <v>0</v>
      </c>
      <c r="G5" s="69">
        <f>IFERROR('4. Metinis CAPEX'!G9/'2. Investicijos'!H5*$C5,0)</f>
        <v>0</v>
      </c>
      <c r="H5" s="69">
        <f>IFERROR('4. Metinis CAPEX'!H9/'2. Investicijos'!H5*$C5,0)</f>
        <v>0</v>
      </c>
      <c r="I5" s="69">
        <f>IFERROR('4. Metinis CAPEX'!I9/'2. Investicijos'!H5*$C5,0)</f>
        <v>0</v>
      </c>
      <c r="J5" s="69">
        <f>IFERROR('4. Metinis CAPEX'!J9/'2. Investicijos'!H5*$C5,0)</f>
        <v>0</v>
      </c>
      <c r="K5" s="69">
        <f>IFERROR('4. Metinis CAPEX'!K9/'2. Investicijos'!H5*$C5,0)</f>
        <v>0</v>
      </c>
      <c r="L5" s="69">
        <f>IFERROR('4. Metinis CAPEX'!L9/'2. Investicijos'!H5*$C5,0)</f>
        <v>0</v>
      </c>
      <c r="M5" s="69">
        <f>IFERROR('4. Metinis CAPEX'!M9/'2. Investicijos'!H5*$C5,0)</f>
        <v>0</v>
      </c>
      <c r="N5" s="69">
        <f>IFERROR('4. Metinis CAPEX'!N9/'2. Investicijos'!H5*$C5,0)</f>
        <v>0</v>
      </c>
      <c r="O5" s="69">
        <f>IFERROR('4. Metinis CAPEX'!O9/'2. Investicijos'!H5*$C5,0)</f>
        <v>0</v>
      </c>
      <c r="P5" s="69" cm="1">
        <f t="array" ref="P5">IF($E5=0,0,SUMPRODUCT(($F$4:$O$4&lt;F$4)*($F$4:$O$4&gt;=F$4-$E5)*($F5:$O5/$E5)))</f>
        <v>0</v>
      </c>
      <c r="Q5" s="69" cm="1">
        <f t="array" ref="Q5">IF($E5=0,0,SUMPRODUCT(($F$4:$O$4&lt;G$4)*($F$4:$O$4&gt;=G$4-$E5)*($F5:$O5/$E5)))</f>
        <v>0</v>
      </c>
      <c r="R5" s="69" cm="1">
        <f t="array" ref="R5">IF($E5=0,0,SUMPRODUCT(($F$4:$O$4&lt;H$4)*($F$4:$O$4&gt;=H$4-$E5)*($F5:$O5/$E5)))</f>
        <v>0</v>
      </c>
      <c r="S5" s="69" cm="1">
        <f t="array" ref="S5">IF($E5=0,0,SUMPRODUCT(($F$4:$O$4&lt;I$4)*($F$4:$O$4&gt;=I$4-$E5)*($F5:$O5/$E5)))</f>
        <v>0</v>
      </c>
      <c r="T5" s="69" cm="1">
        <f t="array" ref="T5">IF($E5=0,0,SUMPRODUCT(($F$4:$O$4&lt;J$4)*($F$4:$O$4&gt;=J$4-$E5)*($F5:$O5/$E5)))</f>
        <v>0</v>
      </c>
      <c r="U5" s="69" cm="1">
        <f t="array" ref="U5">IF($E5=0,0,SUMPRODUCT(($F$4:$O$4&lt;K$4)*($F$4:$O$4&gt;=K$4-$E5)*($F5:$O5/$E5)))</f>
        <v>0</v>
      </c>
      <c r="V5" s="69" cm="1">
        <f t="array" ref="V5">IF($E5=0,0,SUMPRODUCT(($F$4:$O$4&lt;L$4)*($F$4:$O$4&gt;=L$4-$E5)*($F5:$O5/$E5)))</f>
        <v>0</v>
      </c>
      <c r="W5" s="69" cm="1">
        <f t="array" ref="W5">IF($E5=0,0,SUMPRODUCT(($F$4:$O$4&lt;M$4)*($F$4:$O$4&gt;=M$4-$E5)*($F5:$O5/$E5)))</f>
        <v>0</v>
      </c>
      <c r="X5" s="69" cm="1">
        <f t="array" ref="X5">IF($E5=0,0,SUMPRODUCT(($F$4:$O$4&lt;N$4)*($F$4:$O$4&gt;=N$4-$E5)*($F5:$O5/$E5)))</f>
        <v>0</v>
      </c>
      <c r="Y5" s="69" cm="1">
        <f t="array" ref="Y5">IF($E5=0,0,SUMPRODUCT(($F$4:$O$4&lt;O$4)*($F$4:$O$4&gt;=O$4-$E5)*($F5:$O5/$E5)))</f>
        <v>0</v>
      </c>
      <c r="Z5" s="69">
        <f>0</f>
        <v>0</v>
      </c>
      <c r="AA5" s="69">
        <f t="shared" ref="AA5:AI5" si="0">AJ5*$D5</f>
        <v>0</v>
      </c>
      <c r="AB5" s="69">
        <f t="shared" si="0"/>
        <v>0</v>
      </c>
      <c r="AC5" s="69">
        <f t="shared" si="0"/>
        <v>0</v>
      </c>
      <c r="AD5" s="69">
        <f t="shared" si="0"/>
        <v>0</v>
      </c>
      <c r="AE5" s="69">
        <f t="shared" si="0"/>
        <v>0</v>
      </c>
      <c r="AF5" s="69">
        <f t="shared" si="0"/>
        <v>0</v>
      </c>
      <c r="AG5" s="69">
        <f t="shared" si="0"/>
        <v>0</v>
      </c>
      <c r="AH5" s="69">
        <f t="shared" si="0"/>
        <v>0</v>
      </c>
      <c r="AI5" s="69">
        <f t="shared" si="0"/>
        <v>0</v>
      </c>
      <c r="AJ5" s="69">
        <f>F5-P5</f>
        <v>0</v>
      </c>
      <c r="AK5" s="69">
        <f t="shared" ref="AK5:AS5" si="1">AJ5+G5-Q5</f>
        <v>0</v>
      </c>
      <c r="AL5" s="69">
        <f t="shared" si="1"/>
        <v>0</v>
      </c>
      <c r="AM5" s="69">
        <f t="shared" si="1"/>
        <v>0</v>
      </c>
      <c r="AN5" s="69">
        <f t="shared" si="1"/>
        <v>0</v>
      </c>
      <c r="AO5" s="69">
        <f t="shared" si="1"/>
        <v>0</v>
      </c>
      <c r="AP5" s="69">
        <f t="shared" si="1"/>
        <v>0</v>
      </c>
      <c r="AQ5" s="69">
        <f t="shared" si="1"/>
        <v>0</v>
      </c>
      <c r="AR5" s="69">
        <f t="shared" si="1"/>
        <v>0</v>
      </c>
      <c r="AS5" s="69">
        <f t="shared" si="1"/>
        <v>0</v>
      </c>
    </row>
    <row r="6" spans="1:45">
      <c r="A6" s="57" t="str">
        <f>'2. Investicijos'!A6</f>
        <v>2.</v>
      </c>
      <c r="B6" s="57">
        <f>'2. Investicijos'!B6</f>
        <v>0</v>
      </c>
      <c r="C6" s="69">
        <f>MAX(0,'2. Investicijos'!N6-'2. Investicijos'!H6*'7. Pasirinktinis scenarijus'!$C$6)</f>
        <v>0</v>
      </c>
      <c r="D6" s="70">
        <f>IF('2. Investicijos'!O6="",0,'2. Investicijos'!O6/100)</f>
        <v>0</v>
      </c>
      <c r="E6" s="71">
        <f>IF('2. Investicijos'!P6="",0,'2. Investicijos'!P6)</f>
        <v>0</v>
      </c>
      <c r="F6" s="69">
        <f>IFERROR('4. Metinis CAPEX'!F10/'2. Investicijos'!H6*$C6,0)</f>
        <v>0</v>
      </c>
      <c r="G6" s="69">
        <f>IFERROR('4. Metinis CAPEX'!G10/'2. Investicijos'!H6*$C6,0)</f>
        <v>0</v>
      </c>
      <c r="H6" s="69">
        <f>IFERROR('4. Metinis CAPEX'!H10/'2. Investicijos'!H6*$C6,0)</f>
        <v>0</v>
      </c>
      <c r="I6" s="69">
        <f>IFERROR('4. Metinis CAPEX'!I10/'2. Investicijos'!H6*$C6,0)</f>
        <v>0</v>
      </c>
      <c r="J6" s="69">
        <f>IFERROR('4. Metinis CAPEX'!J10/'2. Investicijos'!H6*$C6,0)</f>
        <v>0</v>
      </c>
      <c r="K6" s="69">
        <f>IFERROR('4. Metinis CAPEX'!K10/'2. Investicijos'!H6*$C6,0)</f>
        <v>0</v>
      </c>
      <c r="L6" s="69">
        <f>IFERROR('4. Metinis CAPEX'!L10/'2. Investicijos'!H6*$C6,0)</f>
        <v>0</v>
      </c>
      <c r="M6" s="69">
        <f>IFERROR('4. Metinis CAPEX'!M10/'2. Investicijos'!H6*$C6,0)</f>
        <v>0</v>
      </c>
      <c r="N6" s="69">
        <f>IFERROR('4. Metinis CAPEX'!N10/'2. Investicijos'!H6*$C6,0)</f>
        <v>0</v>
      </c>
      <c r="O6" s="69">
        <f>IFERROR('4. Metinis CAPEX'!O10/'2. Investicijos'!H6*$C6,0)</f>
        <v>0</v>
      </c>
      <c r="P6" s="69" cm="1">
        <f t="array" ref="P6">IF($E6=0,0,SUMPRODUCT(($F$4:$O$4&lt;F$4)*($F$4:$O$4&gt;=F$4-$E6)*($F6:$O6/$E6)))</f>
        <v>0</v>
      </c>
      <c r="Q6" s="69" cm="1">
        <f t="array" ref="Q6">IF($E6=0,0,SUMPRODUCT(($F$4:$O$4&lt;G$4)*($F$4:$O$4&gt;=G$4-$E6)*($F6:$O6/$E6)))</f>
        <v>0</v>
      </c>
      <c r="R6" s="69" cm="1">
        <f t="array" ref="R6">IF($E6=0,0,SUMPRODUCT(($F$4:$O$4&lt;H$4)*($F$4:$O$4&gt;=H$4-$E6)*($F6:$O6/$E6)))</f>
        <v>0</v>
      </c>
      <c r="S6" s="69" cm="1">
        <f t="array" ref="S6">IF($E6=0,0,SUMPRODUCT(($F$4:$O$4&lt;I$4)*($F$4:$O$4&gt;=I$4-$E6)*($F6:$O6/$E6)))</f>
        <v>0</v>
      </c>
      <c r="T6" s="69" cm="1">
        <f t="array" ref="T6">IF($E6=0,0,SUMPRODUCT(($F$4:$O$4&lt;J$4)*($F$4:$O$4&gt;=J$4-$E6)*($F6:$O6/$E6)))</f>
        <v>0</v>
      </c>
      <c r="U6" s="69" cm="1">
        <f t="array" ref="U6">IF($E6=0,0,SUMPRODUCT(($F$4:$O$4&lt;K$4)*($F$4:$O$4&gt;=K$4-$E6)*($F6:$O6/$E6)))</f>
        <v>0</v>
      </c>
      <c r="V6" s="69" cm="1">
        <f t="array" ref="V6">IF($E6=0,0,SUMPRODUCT(($F$4:$O$4&lt;L$4)*($F$4:$O$4&gt;=L$4-$E6)*($F6:$O6/$E6)))</f>
        <v>0</v>
      </c>
      <c r="W6" s="69" cm="1">
        <f t="array" ref="W6">IF($E6=0,0,SUMPRODUCT(($F$4:$O$4&lt;M$4)*($F$4:$O$4&gt;=M$4-$E6)*($F6:$O6/$E6)))</f>
        <v>0</v>
      </c>
      <c r="X6" s="69" cm="1">
        <f t="array" ref="X6">IF($E6=0,0,SUMPRODUCT(($F$4:$O$4&lt;N$4)*($F$4:$O$4&gt;=N$4-$E6)*($F6:$O6/$E6)))</f>
        <v>0</v>
      </c>
      <c r="Y6" s="69" cm="1">
        <f t="array" ref="Y6">IF($E6=0,0,SUMPRODUCT(($F$4:$O$4&lt;O$4)*($F$4:$O$4&gt;=O$4-$E6)*($F6:$O6/$E6)))</f>
        <v>0</v>
      </c>
      <c r="Z6" s="69">
        <f>0</f>
        <v>0</v>
      </c>
      <c r="AA6" s="69">
        <f t="shared" ref="AA6:AA24" si="2">AJ6*$D6</f>
        <v>0</v>
      </c>
      <c r="AB6" s="69">
        <f t="shared" ref="AB6:AB24" si="3">AK6*$D6</f>
        <v>0</v>
      </c>
      <c r="AC6" s="69">
        <f t="shared" ref="AC6:AC24" si="4">AL6*$D6</f>
        <v>0</v>
      </c>
      <c r="AD6" s="69">
        <f t="shared" ref="AD6:AD24" si="5">AM6*$D6</f>
        <v>0</v>
      </c>
      <c r="AE6" s="69">
        <f t="shared" ref="AE6:AE24" si="6">AN6*$D6</f>
        <v>0</v>
      </c>
      <c r="AF6" s="69">
        <f t="shared" ref="AF6:AF24" si="7">AO6*$D6</f>
        <v>0</v>
      </c>
      <c r="AG6" s="69">
        <f t="shared" ref="AG6:AG24" si="8">AP6*$D6</f>
        <v>0</v>
      </c>
      <c r="AH6" s="69">
        <f t="shared" ref="AH6:AH24" si="9">AQ6*$D6</f>
        <v>0</v>
      </c>
      <c r="AI6" s="69">
        <f t="shared" ref="AI6:AI24" si="10">AR6*$D6</f>
        <v>0</v>
      </c>
      <c r="AJ6" s="69">
        <f t="shared" ref="AJ6:AJ24" si="11">F6-P6</f>
        <v>0</v>
      </c>
      <c r="AK6" s="69">
        <f t="shared" ref="AK6:AS6" si="12">AJ6+G6-Q6</f>
        <v>0</v>
      </c>
      <c r="AL6" s="69">
        <f t="shared" si="12"/>
        <v>0</v>
      </c>
      <c r="AM6" s="69">
        <f t="shared" si="12"/>
        <v>0</v>
      </c>
      <c r="AN6" s="69">
        <f t="shared" si="12"/>
        <v>0</v>
      </c>
      <c r="AO6" s="69">
        <f t="shared" si="12"/>
        <v>0</v>
      </c>
      <c r="AP6" s="69">
        <f t="shared" si="12"/>
        <v>0</v>
      </c>
      <c r="AQ6" s="69">
        <f t="shared" si="12"/>
        <v>0</v>
      </c>
      <c r="AR6" s="69">
        <f t="shared" si="12"/>
        <v>0</v>
      </c>
      <c r="AS6" s="69">
        <f t="shared" si="12"/>
        <v>0</v>
      </c>
    </row>
    <row r="7" spans="1:45">
      <c r="A7" s="57" t="str">
        <f>'2. Investicijos'!A7</f>
        <v>3.</v>
      </c>
      <c r="B7" s="57">
        <f>'2. Investicijos'!B7</f>
        <v>0</v>
      </c>
      <c r="C7" s="69">
        <f>MAX(0,'2. Investicijos'!N7-'2. Investicijos'!H7*'7. Pasirinktinis scenarijus'!$C$6)</f>
        <v>0</v>
      </c>
      <c r="D7" s="70">
        <f>IF('2. Investicijos'!O7="",0,'2. Investicijos'!O7/100)</f>
        <v>0</v>
      </c>
      <c r="E7" s="71">
        <f>IF('2. Investicijos'!P7="",0,'2. Investicijos'!P7)</f>
        <v>0</v>
      </c>
      <c r="F7" s="69">
        <f>IFERROR('4. Metinis CAPEX'!F11/'2. Investicijos'!H7*$C7,0)</f>
        <v>0</v>
      </c>
      <c r="G7" s="69">
        <f>IFERROR('4. Metinis CAPEX'!G11/'2. Investicijos'!H7*$C7,0)</f>
        <v>0</v>
      </c>
      <c r="H7" s="69">
        <f>IFERROR('4. Metinis CAPEX'!H11/'2. Investicijos'!H7*$C7,0)</f>
        <v>0</v>
      </c>
      <c r="I7" s="69">
        <f>IFERROR('4. Metinis CAPEX'!I11/'2. Investicijos'!H7*$C7,0)</f>
        <v>0</v>
      </c>
      <c r="J7" s="69">
        <f>IFERROR('4. Metinis CAPEX'!J11/'2. Investicijos'!H7*$C7,0)</f>
        <v>0</v>
      </c>
      <c r="K7" s="69">
        <f>IFERROR('4. Metinis CAPEX'!K11/'2. Investicijos'!H7*$C7,0)</f>
        <v>0</v>
      </c>
      <c r="L7" s="69">
        <f>IFERROR('4. Metinis CAPEX'!L11/'2. Investicijos'!H7*$C7,0)</f>
        <v>0</v>
      </c>
      <c r="M7" s="69">
        <f>IFERROR('4. Metinis CAPEX'!M11/'2. Investicijos'!H7*$C7,0)</f>
        <v>0</v>
      </c>
      <c r="N7" s="69">
        <f>IFERROR('4. Metinis CAPEX'!N11/'2. Investicijos'!H7*$C7,0)</f>
        <v>0</v>
      </c>
      <c r="O7" s="69">
        <f>IFERROR('4. Metinis CAPEX'!O11/'2. Investicijos'!H7*$C7,0)</f>
        <v>0</v>
      </c>
      <c r="P7" s="69" cm="1">
        <f t="array" ref="P7">IF($E7=0,0,SUMPRODUCT(($F$4:$O$4&lt;F$4)*($F$4:$O$4&gt;=F$4-$E7)*($F7:$O7/$E7)))</f>
        <v>0</v>
      </c>
      <c r="Q7" s="69" cm="1">
        <f t="array" ref="Q7">IF($E7=0,0,SUMPRODUCT(($F$4:$O$4&lt;G$4)*($F$4:$O$4&gt;=G$4-$E7)*($F7:$O7/$E7)))</f>
        <v>0</v>
      </c>
      <c r="R7" s="69" cm="1">
        <f t="array" ref="R7">IF($E7=0,0,SUMPRODUCT(($F$4:$O$4&lt;H$4)*($F$4:$O$4&gt;=H$4-$E7)*($F7:$O7/$E7)))</f>
        <v>0</v>
      </c>
      <c r="S7" s="69" cm="1">
        <f t="array" ref="S7">IF($E7=0,0,SUMPRODUCT(($F$4:$O$4&lt;I$4)*($F$4:$O$4&gt;=I$4-$E7)*($F7:$O7/$E7)))</f>
        <v>0</v>
      </c>
      <c r="T7" s="69" cm="1">
        <f t="array" ref="T7">IF($E7=0,0,SUMPRODUCT(($F$4:$O$4&lt;J$4)*($F$4:$O$4&gt;=J$4-$E7)*($F7:$O7/$E7)))</f>
        <v>0</v>
      </c>
      <c r="U7" s="69" cm="1">
        <f t="array" ref="U7">IF($E7=0,0,SUMPRODUCT(($F$4:$O$4&lt;K$4)*($F$4:$O$4&gt;=K$4-$E7)*($F7:$O7/$E7)))</f>
        <v>0</v>
      </c>
      <c r="V7" s="69" cm="1">
        <f t="array" ref="V7">IF($E7=0,0,SUMPRODUCT(($F$4:$O$4&lt;L$4)*($F$4:$O$4&gt;=L$4-$E7)*($F7:$O7/$E7)))</f>
        <v>0</v>
      </c>
      <c r="W7" s="69" cm="1">
        <f t="array" ref="W7">IF($E7=0,0,SUMPRODUCT(($F$4:$O$4&lt;M$4)*($F$4:$O$4&gt;=M$4-$E7)*($F7:$O7/$E7)))</f>
        <v>0</v>
      </c>
      <c r="X7" s="69" cm="1">
        <f t="array" ref="X7">IF($E7=0,0,SUMPRODUCT(($F$4:$O$4&lt;N$4)*($F$4:$O$4&gt;=N$4-$E7)*($F7:$O7/$E7)))</f>
        <v>0</v>
      </c>
      <c r="Y7" s="69" cm="1">
        <f t="array" ref="Y7">IF($E7=0,0,SUMPRODUCT(($F$4:$O$4&lt;O$4)*($F$4:$O$4&gt;=O$4-$E7)*($F7:$O7/$E7)))</f>
        <v>0</v>
      </c>
      <c r="Z7" s="69">
        <f>0</f>
        <v>0</v>
      </c>
      <c r="AA7" s="69">
        <f t="shared" si="2"/>
        <v>0</v>
      </c>
      <c r="AB7" s="69">
        <f t="shared" si="3"/>
        <v>0</v>
      </c>
      <c r="AC7" s="69">
        <f t="shared" si="4"/>
        <v>0</v>
      </c>
      <c r="AD7" s="69">
        <f t="shared" si="5"/>
        <v>0</v>
      </c>
      <c r="AE7" s="69">
        <f t="shared" si="6"/>
        <v>0</v>
      </c>
      <c r="AF7" s="69">
        <f t="shared" si="7"/>
        <v>0</v>
      </c>
      <c r="AG7" s="69">
        <f t="shared" si="8"/>
        <v>0</v>
      </c>
      <c r="AH7" s="69">
        <f t="shared" si="9"/>
        <v>0</v>
      </c>
      <c r="AI7" s="69">
        <f t="shared" si="10"/>
        <v>0</v>
      </c>
      <c r="AJ7" s="69">
        <f t="shared" si="11"/>
        <v>0</v>
      </c>
      <c r="AK7" s="69">
        <f t="shared" ref="AK7:AS7" si="13">AJ7+G7-Q7</f>
        <v>0</v>
      </c>
      <c r="AL7" s="69">
        <f t="shared" si="13"/>
        <v>0</v>
      </c>
      <c r="AM7" s="69">
        <f t="shared" si="13"/>
        <v>0</v>
      </c>
      <c r="AN7" s="69">
        <f t="shared" si="13"/>
        <v>0</v>
      </c>
      <c r="AO7" s="69">
        <f t="shared" si="13"/>
        <v>0</v>
      </c>
      <c r="AP7" s="69">
        <f t="shared" si="13"/>
        <v>0</v>
      </c>
      <c r="AQ7" s="69">
        <f t="shared" si="13"/>
        <v>0</v>
      </c>
      <c r="AR7" s="69">
        <f t="shared" si="13"/>
        <v>0</v>
      </c>
      <c r="AS7" s="69">
        <f t="shared" si="13"/>
        <v>0</v>
      </c>
    </row>
    <row r="8" spans="1:45">
      <c r="A8" s="57" t="str">
        <f>'2. Investicijos'!A8</f>
        <v>4.</v>
      </c>
      <c r="B8" s="57">
        <f>'2. Investicijos'!B8</f>
        <v>0</v>
      </c>
      <c r="C8" s="69">
        <f>MAX(0,'2. Investicijos'!N8-'2. Investicijos'!H8*'7. Pasirinktinis scenarijus'!$C$6)</f>
        <v>0</v>
      </c>
      <c r="D8" s="70">
        <f>IF('2. Investicijos'!O8="",0,'2. Investicijos'!O8/100)</f>
        <v>0</v>
      </c>
      <c r="E8" s="71">
        <f>IF('2. Investicijos'!P8="",0,'2. Investicijos'!P8)</f>
        <v>0</v>
      </c>
      <c r="F8" s="69">
        <f>IFERROR('4. Metinis CAPEX'!F12/'2. Investicijos'!H8*$C8,0)</f>
        <v>0</v>
      </c>
      <c r="G8" s="69">
        <f>IFERROR('4. Metinis CAPEX'!G12/'2. Investicijos'!H8*$C8,0)</f>
        <v>0</v>
      </c>
      <c r="H8" s="69">
        <f>IFERROR('4. Metinis CAPEX'!H12/'2. Investicijos'!H8*$C8,0)</f>
        <v>0</v>
      </c>
      <c r="I8" s="69">
        <f>IFERROR('4. Metinis CAPEX'!I12/'2. Investicijos'!H8*$C8,0)</f>
        <v>0</v>
      </c>
      <c r="J8" s="69">
        <f>IFERROR('4. Metinis CAPEX'!J12/'2. Investicijos'!H8*$C8,0)</f>
        <v>0</v>
      </c>
      <c r="K8" s="69">
        <f>IFERROR('4. Metinis CAPEX'!K12/'2. Investicijos'!H8*$C8,0)</f>
        <v>0</v>
      </c>
      <c r="L8" s="69">
        <f>IFERROR('4. Metinis CAPEX'!L12/'2. Investicijos'!H8*$C8,0)</f>
        <v>0</v>
      </c>
      <c r="M8" s="69">
        <f>IFERROR('4. Metinis CAPEX'!M12/'2. Investicijos'!H8*$C8,0)</f>
        <v>0</v>
      </c>
      <c r="N8" s="69">
        <f>IFERROR('4. Metinis CAPEX'!N12/'2. Investicijos'!H8*$C8,0)</f>
        <v>0</v>
      </c>
      <c r="O8" s="69">
        <f>IFERROR('4. Metinis CAPEX'!O12/'2. Investicijos'!H8*$C8,0)</f>
        <v>0</v>
      </c>
      <c r="P8" s="69" cm="1">
        <f t="array" ref="P8">IF($E8=0,0,SUMPRODUCT(($F$4:$O$4&lt;F$4)*($F$4:$O$4&gt;=F$4-$E8)*($F8:$O8/$E8)))</f>
        <v>0</v>
      </c>
      <c r="Q8" s="69" cm="1">
        <f t="array" ref="Q8">IF($E8=0,0,SUMPRODUCT(($F$4:$O$4&lt;G$4)*($F$4:$O$4&gt;=G$4-$E8)*($F8:$O8/$E8)))</f>
        <v>0</v>
      </c>
      <c r="R8" s="69" cm="1">
        <f t="array" ref="R8">IF($E8=0,0,SUMPRODUCT(($F$4:$O$4&lt;H$4)*($F$4:$O$4&gt;=H$4-$E8)*($F8:$O8/$E8)))</f>
        <v>0</v>
      </c>
      <c r="S8" s="69" cm="1">
        <f t="array" ref="S8">IF($E8=0,0,SUMPRODUCT(($F$4:$O$4&lt;I$4)*($F$4:$O$4&gt;=I$4-$E8)*($F8:$O8/$E8)))</f>
        <v>0</v>
      </c>
      <c r="T8" s="69" cm="1">
        <f t="array" ref="T8">IF($E8=0,0,SUMPRODUCT(($F$4:$O$4&lt;J$4)*($F$4:$O$4&gt;=J$4-$E8)*($F8:$O8/$E8)))</f>
        <v>0</v>
      </c>
      <c r="U8" s="69" cm="1">
        <f t="array" ref="U8">IF($E8=0,0,SUMPRODUCT(($F$4:$O$4&lt;K$4)*($F$4:$O$4&gt;=K$4-$E8)*($F8:$O8/$E8)))</f>
        <v>0</v>
      </c>
      <c r="V8" s="69" cm="1">
        <f t="array" ref="V8">IF($E8=0,0,SUMPRODUCT(($F$4:$O$4&lt;L$4)*($F$4:$O$4&gt;=L$4-$E8)*($F8:$O8/$E8)))</f>
        <v>0</v>
      </c>
      <c r="W8" s="69" cm="1">
        <f t="array" ref="W8">IF($E8=0,0,SUMPRODUCT(($F$4:$O$4&lt;M$4)*($F$4:$O$4&gt;=M$4-$E8)*($F8:$O8/$E8)))</f>
        <v>0</v>
      </c>
      <c r="X8" s="69" cm="1">
        <f t="array" ref="X8">IF($E8=0,0,SUMPRODUCT(($F$4:$O$4&lt;N$4)*($F$4:$O$4&gt;=N$4-$E8)*($F8:$O8/$E8)))</f>
        <v>0</v>
      </c>
      <c r="Y8" s="69" cm="1">
        <f t="array" ref="Y8">IF($E8=0,0,SUMPRODUCT(($F$4:$O$4&lt;O$4)*($F$4:$O$4&gt;=O$4-$E8)*($F8:$O8/$E8)))</f>
        <v>0</v>
      </c>
      <c r="Z8" s="69">
        <f>0</f>
        <v>0</v>
      </c>
      <c r="AA8" s="69">
        <f t="shared" si="2"/>
        <v>0</v>
      </c>
      <c r="AB8" s="69">
        <f t="shared" si="3"/>
        <v>0</v>
      </c>
      <c r="AC8" s="69">
        <f t="shared" si="4"/>
        <v>0</v>
      </c>
      <c r="AD8" s="69">
        <f t="shared" si="5"/>
        <v>0</v>
      </c>
      <c r="AE8" s="69">
        <f t="shared" si="6"/>
        <v>0</v>
      </c>
      <c r="AF8" s="69">
        <f t="shared" si="7"/>
        <v>0</v>
      </c>
      <c r="AG8" s="69">
        <f t="shared" si="8"/>
        <v>0</v>
      </c>
      <c r="AH8" s="69">
        <f t="shared" si="9"/>
        <v>0</v>
      </c>
      <c r="AI8" s="69">
        <f t="shared" si="10"/>
        <v>0</v>
      </c>
      <c r="AJ8" s="69">
        <f t="shared" si="11"/>
        <v>0</v>
      </c>
      <c r="AK8" s="69">
        <f t="shared" ref="AK8:AS8" si="14">AJ8+G8-Q8</f>
        <v>0</v>
      </c>
      <c r="AL8" s="69">
        <f t="shared" si="14"/>
        <v>0</v>
      </c>
      <c r="AM8" s="69">
        <f t="shared" si="14"/>
        <v>0</v>
      </c>
      <c r="AN8" s="69">
        <f t="shared" si="14"/>
        <v>0</v>
      </c>
      <c r="AO8" s="69">
        <f t="shared" si="14"/>
        <v>0</v>
      </c>
      <c r="AP8" s="69">
        <f t="shared" si="14"/>
        <v>0</v>
      </c>
      <c r="AQ8" s="69">
        <f t="shared" si="14"/>
        <v>0</v>
      </c>
      <c r="AR8" s="69">
        <f t="shared" si="14"/>
        <v>0</v>
      </c>
      <c r="AS8" s="69">
        <f t="shared" si="14"/>
        <v>0</v>
      </c>
    </row>
    <row r="9" spans="1:45">
      <c r="A9" s="57" t="str">
        <f>'2. Investicijos'!A9</f>
        <v>5.</v>
      </c>
      <c r="B9" s="57">
        <f>'2. Investicijos'!B9</f>
        <v>0</v>
      </c>
      <c r="C9" s="69">
        <f>MAX(0,'2. Investicijos'!N9-'2. Investicijos'!H9*'7. Pasirinktinis scenarijus'!$C$6)</f>
        <v>0</v>
      </c>
      <c r="D9" s="70">
        <f>IF('2. Investicijos'!O9="",0,'2. Investicijos'!O9/100)</f>
        <v>0</v>
      </c>
      <c r="E9" s="71">
        <f>IF('2. Investicijos'!P9="",0,'2. Investicijos'!P9)</f>
        <v>0</v>
      </c>
      <c r="F9" s="69">
        <f>IFERROR('4. Metinis CAPEX'!F13/'2. Investicijos'!H9*$C9,0)</f>
        <v>0</v>
      </c>
      <c r="G9" s="69">
        <f>IFERROR('4. Metinis CAPEX'!G13/'2. Investicijos'!H9*$C9,0)</f>
        <v>0</v>
      </c>
      <c r="H9" s="69">
        <f>IFERROR('4. Metinis CAPEX'!H13/'2. Investicijos'!H9*$C9,0)</f>
        <v>0</v>
      </c>
      <c r="I9" s="69">
        <f>IFERROR('4. Metinis CAPEX'!I13/'2. Investicijos'!H9*$C9,0)</f>
        <v>0</v>
      </c>
      <c r="J9" s="69">
        <f>IFERROR('4. Metinis CAPEX'!J13/'2. Investicijos'!H9*$C9,0)</f>
        <v>0</v>
      </c>
      <c r="K9" s="69">
        <f>IFERROR('4. Metinis CAPEX'!K13/'2. Investicijos'!H9*$C9,0)</f>
        <v>0</v>
      </c>
      <c r="L9" s="69">
        <f>IFERROR('4. Metinis CAPEX'!L13/'2. Investicijos'!H9*$C9,0)</f>
        <v>0</v>
      </c>
      <c r="M9" s="69">
        <f>IFERROR('4. Metinis CAPEX'!M13/'2. Investicijos'!H9*$C9,0)</f>
        <v>0</v>
      </c>
      <c r="N9" s="69">
        <f>IFERROR('4. Metinis CAPEX'!N13/'2. Investicijos'!H9*$C9,0)</f>
        <v>0</v>
      </c>
      <c r="O9" s="69">
        <f>IFERROR('4. Metinis CAPEX'!O13/'2. Investicijos'!H9*$C9,0)</f>
        <v>0</v>
      </c>
      <c r="P9" s="69" cm="1">
        <f t="array" ref="P9">IF($E9=0,0,SUMPRODUCT(($F$4:$O$4&lt;F$4)*($F$4:$O$4&gt;=F$4-$E9)*($F9:$O9/$E9)))</f>
        <v>0</v>
      </c>
      <c r="Q9" s="69" cm="1">
        <f t="array" ref="Q9">IF($E9=0,0,SUMPRODUCT(($F$4:$O$4&lt;G$4)*($F$4:$O$4&gt;=G$4-$E9)*($F9:$O9/$E9)))</f>
        <v>0</v>
      </c>
      <c r="R9" s="69" cm="1">
        <f t="array" ref="R9">IF($E9=0,0,SUMPRODUCT(($F$4:$O$4&lt;H$4)*($F$4:$O$4&gt;=H$4-$E9)*($F9:$O9/$E9)))</f>
        <v>0</v>
      </c>
      <c r="S9" s="69" cm="1">
        <f t="array" ref="S9">IF($E9=0,0,SUMPRODUCT(($F$4:$O$4&lt;I$4)*($F$4:$O$4&gt;=I$4-$E9)*($F9:$O9/$E9)))</f>
        <v>0</v>
      </c>
      <c r="T9" s="69" cm="1">
        <f t="array" ref="T9">IF($E9=0,0,SUMPRODUCT(($F$4:$O$4&lt;J$4)*($F$4:$O$4&gt;=J$4-$E9)*($F9:$O9/$E9)))</f>
        <v>0</v>
      </c>
      <c r="U9" s="69" cm="1">
        <f t="array" ref="U9">IF($E9=0,0,SUMPRODUCT(($F$4:$O$4&lt;K$4)*($F$4:$O$4&gt;=K$4-$E9)*($F9:$O9/$E9)))</f>
        <v>0</v>
      </c>
      <c r="V9" s="69" cm="1">
        <f t="array" ref="V9">IF($E9=0,0,SUMPRODUCT(($F$4:$O$4&lt;L$4)*($F$4:$O$4&gt;=L$4-$E9)*($F9:$O9/$E9)))</f>
        <v>0</v>
      </c>
      <c r="W9" s="69" cm="1">
        <f t="array" ref="W9">IF($E9=0,0,SUMPRODUCT(($F$4:$O$4&lt;M$4)*($F$4:$O$4&gt;=M$4-$E9)*($F9:$O9/$E9)))</f>
        <v>0</v>
      </c>
      <c r="X9" s="69" cm="1">
        <f t="array" ref="X9">IF($E9=0,0,SUMPRODUCT(($F$4:$O$4&lt;N$4)*($F$4:$O$4&gt;=N$4-$E9)*($F9:$O9/$E9)))</f>
        <v>0</v>
      </c>
      <c r="Y9" s="69" cm="1">
        <f t="array" ref="Y9">IF($E9=0,0,SUMPRODUCT(($F$4:$O$4&lt;O$4)*($F$4:$O$4&gt;=O$4-$E9)*($F9:$O9/$E9)))</f>
        <v>0</v>
      </c>
      <c r="Z9" s="69">
        <f>0</f>
        <v>0</v>
      </c>
      <c r="AA9" s="69">
        <f t="shared" si="2"/>
        <v>0</v>
      </c>
      <c r="AB9" s="69">
        <f t="shared" si="3"/>
        <v>0</v>
      </c>
      <c r="AC9" s="69">
        <f t="shared" si="4"/>
        <v>0</v>
      </c>
      <c r="AD9" s="69">
        <f t="shared" si="5"/>
        <v>0</v>
      </c>
      <c r="AE9" s="69">
        <f t="shared" si="6"/>
        <v>0</v>
      </c>
      <c r="AF9" s="69">
        <f t="shared" si="7"/>
        <v>0</v>
      </c>
      <c r="AG9" s="69">
        <f t="shared" si="8"/>
        <v>0</v>
      </c>
      <c r="AH9" s="69">
        <f t="shared" si="9"/>
        <v>0</v>
      </c>
      <c r="AI9" s="69">
        <f t="shared" si="10"/>
        <v>0</v>
      </c>
      <c r="AJ9" s="69">
        <f t="shared" si="11"/>
        <v>0</v>
      </c>
      <c r="AK9" s="69">
        <f t="shared" ref="AK9:AS9" si="15">AJ9+G9-Q9</f>
        <v>0</v>
      </c>
      <c r="AL9" s="69">
        <f t="shared" si="15"/>
        <v>0</v>
      </c>
      <c r="AM9" s="69">
        <f t="shared" si="15"/>
        <v>0</v>
      </c>
      <c r="AN9" s="69">
        <f t="shared" si="15"/>
        <v>0</v>
      </c>
      <c r="AO9" s="69">
        <f t="shared" si="15"/>
        <v>0</v>
      </c>
      <c r="AP9" s="69">
        <f t="shared" si="15"/>
        <v>0</v>
      </c>
      <c r="AQ9" s="69">
        <f t="shared" si="15"/>
        <v>0</v>
      </c>
      <c r="AR9" s="69">
        <f t="shared" si="15"/>
        <v>0</v>
      </c>
      <c r="AS9" s="69">
        <f t="shared" si="15"/>
        <v>0</v>
      </c>
    </row>
    <row r="10" spans="1:45">
      <c r="A10" s="57" t="str">
        <f>'2. Investicijos'!A10</f>
        <v>6.</v>
      </c>
      <c r="B10" s="57">
        <f>'2. Investicijos'!B10</f>
        <v>0</v>
      </c>
      <c r="C10" s="69">
        <f>MAX(0,'2. Investicijos'!N10-'2. Investicijos'!H10*'7. Pasirinktinis scenarijus'!$C$6)</f>
        <v>0</v>
      </c>
      <c r="D10" s="70">
        <f>IF('2. Investicijos'!O10="",0,'2. Investicijos'!O10/100)</f>
        <v>0</v>
      </c>
      <c r="E10" s="71">
        <f>IF('2. Investicijos'!P10="",0,'2. Investicijos'!P10)</f>
        <v>0</v>
      </c>
      <c r="F10" s="69">
        <f>IFERROR('4. Metinis CAPEX'!F14/'2. Investicijos'!H10*$C10,0)</f>
        <v>0</v>
      </c>
      <c r="G10" s="69">
        <f>IFERROR('4. Metinis CAPEX'!G14/'2. Investicijos'!H10*$C10,0)</f>
        <v>0</v>
      </c>
      <c r="H10" s="69">
        <f>IFERROR('4. Metinis CAPEX'!H14/'2. Investicijos'!H10*$C10,0)</f>
        <v>0</v>
      </c>
      <c r="I10" s="69">
        <f>IFERROR('4. Metinis CAPEX'!I14/'2. Investicijos'!H10*$C10,0)</f>
        <v>0</v>
      </c>
      <c r="J10" s="69">
        <f>IFERROR('4. Metinis CAPEX'!J14/'2. Investicijos'!H10*$C10,0)</f>
        <v>0</v>
      </c>
      <c r="K10" s="69">
        <f>IFERROR('4. Metinis CAPEX'!K14/'2. Investicijos'!H10*$C10,0)</f>
        <v>0</v>
      </c>
      <c r="L10" s="69">
        <f>IFERROR('4. Metinis CAPEX'!L14/'2. Investicijos'!H10*$C10,0)</f>
        <v>0</v>
      </c>
      <c r="M10" s="69">
        <f>IFERROR('4. Metinis CAPEX'!M14/'2. Investicijos'!H10*$C10,0)</f>
        <v>0</v>
      </c>
      <c r="N10" s="69">
        <f>IFERROR('4. Metinis CAPEX'!N14/'2. Investicijos'!H10*$C10,0)</f>
        <v>0</v>
      </c>
      <c r="O10" s="69">
        <f>IFERROR('4. Metinis CAPEX'!O14/'2. Investicijos'!H10*$C10,0)</f>
        <v>0</v>
      </c>
      <c r="P10" s="69" cm="1">
        <f t="array" ref="P10">IF($E10=0,0,SUMPRODUCT(($F$4:$O$4&lt;F$4)*($F$4:$O$4&gt;=F$4-$E10)*($F10:$O10/$E10)))</f>
        <v>0</v>
      </c>
      <c r="Q10" s="69" cm="1">
        <f t="array" ref="Q10">IF($E10=0,0,SUMPRODUCT(($F$4:$O$4&lt;G$4)*($F$4:$O$4&gt;=G$4-$E10)*($F10:$O10/$E10)))</f>
        <v>0</v>
      </c>
      <c r="R10" s="69" cm="1">
        <f t="array" ref="R10">IF($E10=0,0,SUMPRODUCT(($F$4:$O$4&lt;H$4)*($F$4:$O$4&gt;=H$4-$E10)*($F10:$O10/$E10)))</f>
        <v>0</v>
      </c>
      <c r="S10" s="69" cm="1">
        <f t="array" ref="S10">IF($E10=0,0,SUMPRODUCT(($F$4:$O$4&lt;I$4)*($F$4:$O$4&gt;=I$4-$E10)*($F10:$O10/$E10)))</f>
        <v>0</v>
      </c>
      <c r="T10" s="69" cm="1">
        <f t="array" ref="T10">IF($E10=0,0,SUMPRODUCT(($F$4:$O$4&lt;J$4)*($F$4:$O$4&gt;=J$4-$E10)*($F10:$O10/$E10)))</f>
        <v>0</v>
      </c>
      <c r="U10" s="69" cm="1">
        <f t="array" ref="U10">IF($E10=0,0,SUMPRODUCT(($F$4:$O$4&lt;K$4)*($F$4:$O$4&gt;=K$4-$E10)*($F10:$O10/$E10)))</f>
        <v>0</v>
      </c>
      <c r="V10" s="69" cm="1">
        <f t="array" ref="V10">IF($E10=0,0,SUMPRODUCT(($F$4:$O$4&lt;L$4)*($F$4:$O$4&gt;=L$4-$E10)*($F10:$O10/$E10)))</f>
        <v>0</v>
      </c>
      <c r="W10" s="69" cm="1">
        <f t="array" ref="W10">IF($E10=0,0,SUMPRODUCT(($F$4:$O$4&lt;M$4)*($F$4:$O$4&gt;=M$4-$E10)*($F10:$O10/$E10)))</f>
        <v>0</v>
      </c>
      <c r="X10" s="69" cm="1">
        <f t="array" ref="X10">IF($E10=0,0,SUMPRODUCT(($F$4:$O$4&lt;N$4)*($F$4:$O$4&gt;=N$4-$E10)*($F10:$O10/$E10)))</f>
        <v>0</v>
      </c>
      <c r="Y10" s="69" cm="1">
        <f t="array" ref="Y10">IF($E10=0,0,SUMPRODUCT(($F$4:$O$4&lt;O$4)*($F$4:$O$4&gt;=O$4-$E10)*($F10:$O10/$E10)))</f>
        <v>0</v>
      </c>
      <c r="Z10" s="69">
        <f>0</f>
        <v>0</v>
      </c>
      <c r="AA10" s="69">
        <f t="shared" si="2"/>
        <v>0</v>
      </c>
      <c r="AB10" s="69">
        <f t="shared" si="3"/>
        <v>0</v>
      </c>
      <c r="AC10" s="69">
        <f t="shared" si="4"/>
        <v>0</v>
      </c>
      <c r="AD10" s="69">
        <f t="shared" si="5"/>
        <v>0</v>
      </c>
      <c r="AE10" s="69">
        <f t="shared" si="6"/>
        <v>0</v>
      </c>
      <c r="AF10" s="69">
        <f t="shared" si="7"/>
        <v>0</v>
      </c>
      <c r="AG10" s="69">
        <f t="shared" si="8"/>
        <v>0</v>
      </c>
      <c r="AH10" s="69">
        <f t="shared" si="9"/>
        <v>0</v>
      </c>
      <c r="AI10" s="69">
        <f t="shared" si="10"/>
        <v>0</v>
      </c>
      <c r="AJ10" s="69">
        <f t="shared" si="11"/>
        <v>0</v>
      </c>
      <c r="AK10" s="69">
        <f t="shared" ref="AK10:AS10" si="16">AJ10+G10-Q10</f>
        <v>0</v>
      </c>
      <c r="AL10" s="69">
        <f t="shared" si="16"/>
        <v>0</v>
      </c>
      <c r="AM10" s="69">
        <f t="shared" si="16"/>
        <v>0</v>
      </c>
      <c r="AN10" s="69">
        <f t="shared" si="16"/>
        <v>0</v>
      </c>
      <c r="AO10" s="69">
        <f t="shared" si="16"/>
        <v>0</v>
      </c>
      <c r="AP10" s="69">
        <f t="shared" si="16"/>
        <v>0</v>
      </c>
      <c r="AQ10" s="69">
        <f t="shared" si="16"/>
        <v>0</v>
      </c>
      <c r="AR10" s="69">
        <f t="shared" si="16"/>
        <v>0</v>
      </c>
      <c r="AS10" s="69">
        <f t="shared" si="16"/>
        <v>0</v>
      </c>
    </row>
    <row r="11" spans="1:45">
      <c r="A11" s="57" t="str">
        <f>'2. Investicijos'!A11</f>
        <v>7.</v>
      </c>
      <c r="B11" s="57">
        <f>'2. Investicijos'!B11</f>
        <v>0</v>
      </c>
      <c r="C11" s="69">
        <f>MAX(0,'2. Investicijos'!N11-'2. Investicijos'!H11*'7. Pasirinktinis scenarijus'!$C$6)</f>
        <v>0</v>
      </c>
      <c r="D11" s="70">
        <f>IF('2. Investicijos'!O11="",0,'2. Investicijos'!O11/100)</f>
        <v>0</v>
      </c>
      <c r="E11" s="71">
        <f>IF('2. Investicijos'!P11="",0,'2. Investicijos'!P11)</f>
        <v>0</v>
      </c>
      <c r="F11" s="69">
        <f>IFERROR('4. Metinis CAPEX'!F15/'2. Investicijos'!H11*$C11,0)</f>
        <v>0</v>
      </c>
      <c r="G11" s="69">
        <f>IFERROR('4. Metinis CAPEX'!G15/'2. Investicijos'!H11*$C11,0)</f>
        <v>0</v>
      </c>
      <c r="H11" s="69">
        <f>IFERROR('4. Metinis CAPEX'!H15/'2. Investicijos'!H11*$C11,0)</f>
        <v>0</v>
      </c>
      <c r="I11" s="69">
        <f>IFERROR('4. Metinis CAPEX'!I15/'2. Investicijos'!H11*$C11,0)</f>
        <v>0</v>
      </c>
      <c r="J11" s="69">
        <f>IFERROR('4. Metinis CAPEX'!J15/'2. Investicijos'!H11*$C11,0)</f>
        <v>0</v>
      </c>
      <c r="K11" s="69">
        <f>IFERROR('4. Metinis CAPEX'!K15/'2. Investicijos'!H11*$C11,0)</f>
        <v>0</v>
      </c>
      <c r="L11" s="69">
        <f>IFERROR('4. Metinis CAPEX'!L15/'2. Investicijos'!H11*$C11,0)</f>
        <v>0</v>
      </c>
      <c r="M11" s="69">
        <f>IFERROR('4. Metinis CAPEX'!M15/'2. Investicijos'!H11*$C11,0)</f>
        <v>0</v>
      </c>
      <c r="N11" s="69">
        <f>IFERROR('4. Metinis CAPEX'!N15/'2. Investicijos'!H11*$C11,0)</f>
        <v>0</v>
      </c>
      <c r="O11" s="69">
        <f>IFERROR('4. Metinis CAPEX'!O15/'2. Investicijos'!H11*$C11,0)</f>
        <v>0</v>
      </c>
      <c r="P11" s="69" cm="1">
        <f t="array" ref="P11">IF($E11=0,0,SUMPRODUCT(($F$4:$O$4&lt;F$4)*($F$4:$O$4&gt;=F$4-$E11)*($F11:$O11/$E11)))</f>
        <v>0</v>
      </c>
      <c r="Q11" s="69" cm="1">
        <f t="array" ref="Q11">IF($E11=0,0,SUMPRODUCT(($F$4:$O$4&lt;G$4)*($F$4:$O$4&gt;=G$4-$E11)*($F11:$O11/$E11)))</f>
        <v>0</v>
      </c>
      <c r="R11" s="69" cm="1">
        <f t="array" ref="R11">IF($E11=0,0,SUMPRODUCT(($F$4:$O$4&lt;H$4)*($F$4:$O$4&gt;=H$4-$E11)*($F11:$O11/$E11)))</f>
        <v>0</v>
      </c>
      <c r="S11" s="69" cm="1">
        <f t="array" ref="S11">IF($E11=0,0,SUMPRODUCT(($F$4:$O$4&lt;I$4)*($F$4:$O$4&gt;=I$4-$E11)*($F11:$O11/$E11)))</f>
        <v>0</v>
      </c>
      <c r="T11" s="69" cm="1">
        <f t="array" ref="T11">IF($E11=0,0,SUMPRODUCT(($F$4:$O$4&lt;J$4)*($F$4:$O$4&gt;=J$4-$E11)*($F11:$O11/$E11)))</f>
        <v>0</v>
      </c>
      <c r="U11" s="69" cm="1">
        <f t="array" ref="U11">IF($E11=0,0,SUMPRODUCT(($F$4:$O$4&lt;K$4)*($F$4:$O$4&gt;=K$4-$E11)*($F11:$O11/$E11)))</f>
        <v>0</v>
      </c>
      <c r="V11" s="69" cm="1">
        <f t="array" ref="V11">IF($E11=0,0,SUMPRODUCT(($F$4:$O$4&lt;L$4)*($F$4:$O$4&gt;=L$4-$E11)*($F11:$O11/$E11)))</f>
        <v>0</v>
      </c>
      <c r="W11" s="69" cm="1">
        <f t="array" ref="W11">IF($E11=0,0,SUMPRODUCT(($F$4:$O$4&lt;M$4)*($F$4:$O$4&gt;=M$4-$E11)*($F11:$O11/$E11)))</f>
        <v>0</v>
      </c>
      <c r="X11" s="69" cm="1">
        <f t="array" ref="X11">IF($E11=0,0,SUMPRODUCT(($F$4:$O$4&lt;N$4)*($F$4:$O$4&gt;=N$4-$E11)*($F11:$O11/$E11)))</f>
        <v>0</v>
      </c>
      <c r="Y11" s="69" cm="1">
        <f t="array" ref="Y11">IF($E11=0,0,SUMPRODUCT(($F$4:$O$4&lt;O$4)*($F$4:$O$4&gt;=O$4-$E11)*($F11:$O11/$E11)))</f>
        <v>0</v>
      </c>
      <c r="Z11" s="69">
        <f>0</f>
        <v>0</v>
      </c>
      <c r="AA11" s="69">
        <f t="shared" si="2"/>
        <v>0</v>
      </c>
      <c r="AB11" s="69">
        <f t="shared" si="3"/>
        <v>0</v>
      </c>
      <c r="AC11" s="69">
        <f t="shared" si="4"/>
        <v>0</v>
      </c>
      <c r="AD11" s="69">
        <f t="shared" si="5"/>
        <v>0</v>
      </c>
      <c r="AE11" s="69">
        <f t="shared" si="6"/>
        <v>0</v>
      </c>
      <c r="AF11" s="69">
        <f t="shared" si="7"/>
        <v>0</v>
      </c>
      <c r="AG11" s="69">
        <f t="shared" si="8"/>
        <v>0</v>
      </c>
      <c r="AH11" s="69">
        <f t="shared" si="9"/>
        <v>0</v>
      </c>
      <c r="AI11" s="69">
        <f t="shared" si="10"/>
        <v>0</v>
      </c>
      <c r="AJ11" s="69">
        <f t="shared" si="11"/>
        <v>0</v>
      </c>
      <c r="AK11" s="69">
        <f t="shared" ref="AK11:AS11" si="17">AJ11+G11-Q11</f>
        <v>0</v>
      </c>
      <c r="AL11" s="69">
        <f t="shared" si="17"/>
        <v>0</v>
      </c>
      <c r="AM11" s="69">
        <f t="shared" si="17"/>
        <v>0</v>
      </c>
      <c r="AN11" s="69">
        <f t="shared" si="17"/>
        <v>0</v>
      </c>
      <c r="AO11" s="69">
        <f t="shared" si="17"/>
        <v>0</v>
      </c>
      <c r="AP11" s="69">
        <f t="shared" si="17"/>
        <v>0</v>
      </c>
      <c r="AQ11" s="69">
        <f t="shared" si="17"/>
        <v>0</v>
      </c>
      <c r="AR11" s="69">
        <f t="shared" si="17"/>
        <v>0</v>
      </c>
      <c r="AS11" s="69">
        <f t="shared" si="17"/>
        <v>0</v>
      </c>
    </row>
    <row r="12" spans="1:45">
      <c r="A12" s="57" t="str">
        <f>'2. Investicijos'!A12</f>
        <v>8.</v>
      </c>
      <c r="B12" s="57">
        <f>'2. Investicijos'!B12</f>
        <v>0</v>
      </c>
      <c r="C12" s="69">
        <f>MAX(0,'2. Investicijos'!N12-'2. Investicijos'!H12*'7. Pasirinktinis scenarijus'!$C$6)</f>
        <v>0</v>
      </c>
      <c r="D12" s="70">
        <f>IF('2. Investicijos'!O12="",0,'2. Investicijos'!O12/100)</f>
        <v>0</v>
      </c>
      <c r="E12" s="71">
        <f>IF('2. Investicijos'!P12="",0,'2. Investicijos'!P12)</f>
        <v>0</v>
      </c>
      <c r="F12" s="69">
        <f>IFERROR('4. Metinis CAPEX'!F16/'2. Investicijos'!H12*$C12,0)</f>
        <v>0</v>
      </c>
      <c r="G12" s="69">
        <f>IFERROR('4. Metinis CAPEX'!G16/'2. Investicijos'!H12*$C12,0)</f>
        <v>0</v>
      </c>
      <c r="H12" s="69">
        <f>IFERROR('4. Metinis CAPEX'!H16/'2. Investicijos'!H12*$C12,0)</f>
        <v>0</v>
      </c>
      <c r="I12" s="69">
        <f>IFERROR('4. Metinis CAPEX'!I16/'2. Investicijos'!H12*$C12,0)</f>
        <v>0</v>
      </c>
      <c r="J12" s="69">
        <f>IFERROR('4. Metinis CAPEX'!J16/'2. Investicijos'!H12*$C12,0)</f>
        <v>0</v>
      </c>
      <c r="K12" s="69">
        <f>IFERROR('4. Metinis CAPEX'!K16/'2. Investicijos'!H12*$C12,0)</f>
        <v>0</v>
      </c>
      <c r="L12" s="69">
        <f>IFERROR('4. Metinis CAPEX'!L16/'2. Investicijos'!H12*$C12,0)</f>
        <v>0</v>
      </c>
      <c r="M12" s="69">
        <f>IFERROR('4. Metinis CAPEX'!M16/'2. Investicijos'!H12*$C12,0)</f>
        <v>0</v>
      </c>
      <c r="N12" s="69">
        <f>IFERROR('4. Metinis CAPEX'!N16/'2. Investicijos'!H12*$C12,0)</f>
        <v>0</v>
      </c>
      <c r="O12" s="69">
        <f>IFERROR('4. Metinis CAPEX'!O16/'2. Investicijos'!H12*$C12,0)</f>
        <v>0</v>
      </c>
      <c r="P12" s="69" cm="1">
        <f t="array" ref="P12">IF($E12=0,0,SUMPRODUCT(($F$4:$O$4&lt;F$4)*($F$4:$O$4&gt;=F$4-$E12)*($F12:$O12/$E12)))</f>
        <v>0</v>
      </c>
      <c r="Q12" s="69" cm="1">
        <f t="array" ref="Q12">IF($E12=0,0,SUMPRODUCT(($F$4:$O$4&lt;G$4)*($F$4:$O$4&gt;=G$4-$E12)*($F12:$O12/$E12)))</f>
        <v>0</v>
      </c>
      <c r="R12" s="69" cm="1">
        <f t="array" ref="R12">IF($E12=0,0,SUMPRODUCT(($F$4:$O$4&lt;H$4)*($F$4:$O$4&gt;=H$4-$E12)*($F12:$O12/$E12)))</f>
        <v>0</v>
      </c>
      <c r="S12" s="69" cm="1">
        <f t="array" ref="S12">IF($E12=0,0,SUMPRODUCT(($F$4:$O$4&lt;I$4)*($F$4:$O$4&gt;=I$4-$E12)*($F12:$O12/$E12)))</f>
        <v>0</v>
      </c>
      <c r="T12" s="69" cm="1">
        <f t="array" ref="T12">IF($E12=0,0,SUMPRODUCT(($F$4:$O$4&lt;J$4)*($F$4:$O$4&gt;=J$4-$E12)*($F12:$O12/$E12)))</f>
        <v>0</v>
      </c>
      <c r="U12" s="69" cm="1">
        <f t="array" ref="U12">IF($E12=0,0,SUMPRODUCT(($F$4:$O$4&lt;K$4)*($F$4:$O$4&gt;=K$4-$E12)*($F12:$O12/$E12)))</f>
        <v>0</v>
      </c>
      <c r="V12" s="69" cm="1">
        <f t="array" ref="V12">IF($E12=0,0,SUMPRODUCT(($F$4:$O$4&lt;L$4)*($F$4:$O$4&gt;=L$4-$E12)*($F12:$O12/$E12)))</f>
        <v>0</v>
      </c>
      <c r="W12" s="69" cm="1">
        <f t="array" ref="W12">IF($E12=0,0,SUMPRODUCT(($F$4:$O$4&lt;M$4)*($F$4:$O$4&gt;=M$4-$E12)*($F12:$O12/$E12)))</f>
        <v>0</v>
      </c>
      <c r="X12" s="69" cm="1">
        <f t="array" ref="X12">IF($E12=0,0,SUMPRODUCT(($F$4:$O$4&lt;N$4)*($F$4:$O$4&gt;=N$4-$E12)*($F12:$O12/$E12)))</f>
        <v>0</v>
      </c>
      <c r="Y12" s="69" cm="1">
        <f t="array" ref="Y12">IF($E12=0,0,SUMPRODUCT(($F$4:$O$4&lt;O$4)*($F$4:$O$4&gt;=O$4-$E12)*($F12:$O12/$E12)))</f>
        <v>0</v>
      </c>
      <c r="Z12" s="69">
        <f>0</f>
        <v>0</v>
      </c>
      <c r="AA12" s="69">
        <f t="shared" si="2"/>
        <v>0</v>
      </c>
      <c r="AB12" s="69">
        <f t="shared" si="3"/>
        <v>0</v>
      </c>
      <c r="AC12" s="69">
        <f t="shared" si="4"/>
        <v>0</v>
      </c>
      <c r="AD12" s="69">
        <f t="shared" si="5"/>
        <v>0</v>
      </c>
      <c r="AE12" s="69">
        <f t="shared" si="6"/>
        <v>0</v>
      </c>
      <c r="AF12" s="69">
        <f t="shared" si="7"/>
        <v>0</v>
      </c>
      <c r="AG12" s="69">
        <f t="shared" si="8"/>
        <v>0</v>
      </c>
      <c r="AH12" s="69">
        <f t="shared" si="9"/>
        <v>0</v>
      </c>
      <c r="AI12" s="69">
        <f t="shared" si="10"/>
        <v>0</v>
      </c>
      <c r="AJ12" s="69">
        <f t="shared" si="11"/>
        <v>0</v>
      </c>
      <c r="AK12" s="69">
        <f t="shared" ref="AK12:AS12" si="18">AJ12+G12-Q12</f>
        <v>0</v>
      </c>
      <c r="AL12" s="69">
        <f t="shared" si="18"/>
        <v>0</v>
      </c>
      <c r="AM12" s="69">
        <f t="shared" si="18"/>
        <v>0</v>
      </c>
      <c r="AN12" s="69">
        <f t="shared" si="18"/>
        <v>0</v>
      </c>
      <c r="AO12" s="69">
        <f t="shared" si="18"/>
        <v>0</v>
      </c>
      <c r="AP12" s="69">
        <f t="shared" si="18"/>
        <v>0</v>
      </c>
      <c r="AQ12" s="69">
        <f t="shared" si="18"/>
        <v>0</v>
      </c>
      <c r="AR12" s="69">
        <f t="shared" si="18"/>
        <v>0</v>
      </c>
      <c r="AS12" s="69">
        <f t="shared" si="18"/>
        <v>0</v>
      </c>
    </row>
    <row r="13" spans="1:45">
      <c r="A13" s="57" t="str">
        <f>'2. Investicijos'!A13</f>
        <v>9.</v>
      </c>
      <c r="B13" s="57">
        <f>'2. Investicijos'!B13</f>
        <v>0</v>
      </c>
      <c r="C13" s="69">
        <f>MAX(0,'2. Investicijos'!N13-'2. Investicijos'!H13*'7. Pasirinktinis scenarijus'!$C$6)</f>
        <v>0</v>
      </c>
      <c r="D13" s="70">
        <f>IF('2. Investicijos'!O13="",0,'2. Investicijos'!O13/100)</f>
        <v>0</v>
      </c>
      <c r="E13" s="71">
        <f>IF('2. Investicijos'!P13="",0,'2. Investicijos'!P13)</f>
        <v>0</v>
      </c>
      <c r="F13" s="69">
        <f>IFERROR('4. Metinis CAPEX'!F17/'2. Investicijos'!H13*$C13,0)</f>
        <v>0</v>
      </c>
      <c r="G13" s="69">
        <f>IFERROR('4. Metinis CAPEX'!G17/'2. Investicijos'!H13*$C13,0)</f>
        <v>0</v>
      </c>
      <c r="H13" s="69">
        <f>IFERROR('4. Metinis CAPEX'!H17/'2. Investicijos'!H13*$C13,0)</f>
        <v>0</v>
      </c>
      <c r="I13" s="69">
        <f>IFERROR('4. Metinis CAPEX'!I17/'2. Investicijos'!H13*$C13,0)</f>
        <v>0</v>
      </c>
      <c r="J13" s="69">
        <f>IFERROR('4. Metinis CAPEX'!J17/'2. Investicijos'!H13*$C13,0)</f>
        <v>0</v>
      </c>
      <c r="K13" s="69">
        <f>IFERROR('4. Metinis CAPEX'!K17/'2. Investicijos'!H13*$C13,0)</f>
        <v>0</v>
      </c>
      <c r="L13" s="69">
        <f>IFERROR('4. Metinis CAPEX'!L17/'2. Investicijos'!H13*$C13,0)</f>
        <v>0</v>
      </c>
      <c r="M13" s="69">
        <f>IFERROR('4. Metinis CAPEX'!M17/'2. Investicijos'!H13*$C13,0)</f>
        <v>0</v>
      </c>
      <c r="N13" s="69">
        <f>IFERROR('4. Metinis CAPEX'!N17/'2. Investicijos'!H13*$C13,0)</f>
        <v>0</v>
      </c>
      <c r="O13" s="69">
        <f>IFERROR('4. Metinis CAPEX'!O17/'2. Investicijos'!H13*$C13,0)</f>
        <v>0</v>
      </c>
      <c r="P13" s="69" cm="1">
        <f t="array" ref="P13">IF($E13=0,0,SUMPRODUCT(($F$4:$O$4&lt;F$4)*($F$4:$O$4&gt;=F$4-$E13)*($F13:$O13/$E13)))</f>
        <v>0</v>
      </c>
      <c r="Q13" s="69" cm="1">
        <f t="array" ref="Q13">IF($E13=0,0,SUMPRODUCT(($F$4:$O$4&lt;G$4)*($F$4:$O$4&gt;=G$4-$E13)*($F13:$O13/$E13)))</f>
        <v>0</v>
      </c>
      <c r="R13" s="69" cm="1">
        <f t="array" ref="R13">IF($E13=0,0,SUMPRODUCT(($F$4:$O$4&lt;H$4)*($F$4:$O$4&gt;=H$4-$E13)*($F13:$O13/$E13)))</f>
        <v>0</v>
      </c>
      <c r="S13" s="69" cm="1">
        <f t="array" ref="S13">IF($E13=0,0,SUMPRODUCT(($F$4:$O$4&lt;I$4)*($F$4:$O$4&gt;=I$4-$E13)*($F13:$O13/$E13)))</f>
        <v>0</v>
      </c>
      <c r="T13" s="69" cm="1">
        <f t="array" ref="T13">IF($E13=0,0,SUMPRODUCT(($F$4:$O$4&lt;J$4)*($F$4:$O$4&gt;=J$4-$E13)*($F13:$O13/$E13)))</f>
        <v>0</v>
      </c>
      <c r="U13" s="69" cm="1">
        <f t="array" ref="U13">IF($E13=0,0,SUMPRODUCT(($F$4:$O$4&lt;K$4)*($F$4:$O$4&gt;=K$4-$E13)*($F13:$O13/$E13)))</f>
        <v>0</v>
      </c>
      <c r="V13" s="69" cm="1">
        <f t="array" ref="V13">IF($E13=0,0,SUMPRODUCT(($F$4:$O$4&lt;L$4)*($F$4:$O$4&gt;=L$4-$E13)*($F13:$O13/$E13)))</f>
        <v>0</v>
      </c>
      <c r="W13" s="69" cm="1">
        <f t="array" ref="W13">IF($E13=0,0,SUMPRODUCT(($F$4:$O$4&lt;M$4)*($F$4:$O$4&gt;=M$4-$E13)*($F13:$O13/$E13)))</f>
        <v>0</v>
      </c>
      <c r="X13" s="69" cm="1">
        <f t="array" ref="X13">IF($E13=0,0,SUMPRODUCT(($F$4:$O$4&lt;N$4)*($F$4:$O$4&gt;=N$4-$E13)*($F13:$O13/$E13)))</f>
        <v>0</v>
      </c>
      <c r="Y13" s="69" cm="1">
        <f t="array" ref="Y13">IF($E13=0,0,SUMPRODUCT(($F$4:$O$4&lt;O$4)*($F$4:$O$4&gt;=O$4-$E13)*($F13:$O13/$E13)))</f>
        <v>0</v>
      </c>
      <c r="Z13" s="69">
        <f>0</f>
        <v>0</v>
      </c>
      <c r="AA13" s="69">
        <f t="shared" si="2"/>
        <v>0</v>
      </c>
      <c r="AB13" s="69">
        <f t="shared" si="3"/>
        <v>0</v>
      </c>
      <c r="AC13" s="69">
        <f t="shared" si="4"/>
        <v>0</v>
      </c>
      <c r="AD13" s="69">
        <f t="shared" si="5"/>
        <v>0</v>
      </c>
      <c r="AE13" s="69">
        <f t="shared" si="6"/>
        <v>0</v>
      </c>
      <c r="AF13" s="69">
        <f t="shared" si="7"/>
        <v>0</v>
      </c>
      <c r="AG13" s="69">
        <f t="shared" si="8"/>
        <v>0</v>
      </c>
      <c r="AH13" s="69">
        <f t="shared" si="9"/>
        <v>0</v>
      </c>
      <c r="AI13" s="69">
        <f t="shared" si="10"/>
        <v>0</v>
      </c>
      <c r="AJ13" s="69">
        <f t="shared" si="11"/>
        <v>0</v>
      </c>
      <c r="AK13" s="69">
        <f t="shared" ref="AK13:AS13" si="19">AJ13+G13-Q13</f>
        <v>0</v>
      </c>
      <c r="AL13" s="69">
        <f t="shared" si="19"/>
        <v>0</v>
      </c>
      <c r="AM13" s="69">
        <f t="shared" si="19"/>
        <v>0</v>
      </c>
      <c r="AN13" s="69">
        <f t="shared" si="19"/>
        <v>0</v>
      </c>
      <c r="AO13" s="69">
        <f t="shared" si="19"/>
        <v>0</v>
      </c>
      <c r="AP13" s="69">
        <f t="shared" si="19"/>
        <v>0</v>
      </c>
      <c r="AQ13" s="69">
        <f t="shared" si="19"/>
        <v>0</v>
      </c>
      <c r="AR13" s="69">
        <f t="shared" si="19"/>
        <v>0</v>
      </c>
      <c r="AS13" s="69">
        <f t="shared" si="19"/>
        <v>0</v>
      </c>
    </row>
    <row r="14" spans="1:45">
      <c r="A14" s="57" t="str">
        <f>'2. Investicijos'!A14</f>
        <v>10.</v>
      </c>
      <c r="B14" s="57">
        <f>'2. Investicijos'!B14</f>
        <v>0</v>
      </c>
      <c r="C14" s="69">
        <f>MAX(0,'2. Investicijos'!N14-'2. Investicijos'!H14*'7. Pasirinktinis scenarijus'!$C$6)</f>
        <v>0</v>
      </c>
      <c r="D14" s="70">
        <f>IF('2. Investicijos'!O14="",0,'2. Investicijos'!O14/100)</f>
        <v>0</v>
      </c>
      <c r="E14" s="71">
        <f>IF('2. Investicijos'!P14="",0,'2. Investicijos'!P14)</f>
        <v>0</v>
      </c>
      <c r="F14" s="69">
        <f>IFERROR('4. Metinis CAPEX'!F18/'2. Investicijos'!H14*$C14,0)</f>
        <v>0</v>
      </c>
      <c r="G14" s="69">
        <f>IFERROR('4. Metinis CAPEX'!G18/'2. Investicijos'!H14*$C14,0)</f>
        <v>0</v>
      </c>
      <c r="H14" s="69">
        <f>IFERROR('4. Metinis CAPEX'!H18/'2. Investicijos'!H14*$C14,0)</f>
        <v>0</v>
      </c>
      <c r="I14" s="69">
        <f>IFERROR('4. Metinis CAPEX'!I18/'2. Investicijos'!H14*$C14,0)</f>
        <v>0</v>
      </c>
      <c r="J14" s="69">
        <f>IFERROR('4. Metinis CAPEX'!J18/'2. Investicijos'!H14*$C14,0)</f>
        <v>0</v>
      </c>
      <c r="K14" s="69">
        <f>IFERROR('4. Metinis CAPEX'!K18/'2. Investicijos'!H14*$C14,0)</f>
        <v>0</v>
      </c>
      <c r="L14" s="69">
        <f>IFERROR('4. Metinis CAPEX'!L18/'2. Investicijos'!H14*$C14,0)</f>
        <v>0</v>
      </c>
      <c r="M14" s="69">
        <f>IFERROR('4. Metinis CAPEX'!M18/'2. Investicijos'!H14*$C14,0)</f>
        <v>0</v>
      </c>
      <c r="N14" s="69">
        <f>IFERROR('4. Metinis CAPEX'!N18/'2. Investicijos'!H14*$C14,0)</f>
        <v>0</v>
      </c>
      <c r="O14" s="69">
        <f>IFERROR('4. Metinis CAPEX'!O18/'2. Investicijos'!H14*$C14,0)</f>
        <v>0</v>
      </c>
      <c r="P14" s="69" cm="1">
        <f t="array" ref="P14">IF($E14=0,0,SUMPRODUCT(($F$4:$O$4&lt;F$4)*($F$4:$O$4&gt;=F$4-$E14)*($F14:$O14/$E14)))</f>
        <v>0</v>
      </c>
      <c r="Q14" s="69" cm="1">
        <f t="array" ref="Q14">IF($E14=0,0,SUMPRODUCT(($F$4:$O$4&lt;G$4)*($F$4:$O$4&gt;=G$4-$E14)*($F14:$O14/$E14)))</f>
        <v>0</v>
      </c>
      <c r="R14" s="69" cm="1">
        <f t="array" ref="R14">IF($E14=0,0,SUMPRODUCT(($F$4:$O$4&lt;H$4)*($F$4:$O$4&gt;=H$4-$E14)*($F14:$O14/$E14)))</f>
        <v>0</v>
      </c>
      <c r="S14" s="69" cm="1">
        <f t="array" ref="S14">IF($E14=0,0,SUMPRODUCT(($F$4:$O$4&lt;I$4)*($F$4:$O$4&gt;=I$4-$E14)*($F14:$O14/$E14)))</f>
        <v>0</v>
      </c>
      <c r="T14" s="69" cm="1">
        <f t="array" ref="T14">IF($E14=0,0,SUMPRODUCT(($F$4:$O$4&lt;J$4)*($F$4:$O$4&gt;=J$4-$E14)*($F14:$O14/$E14)))</f>
        <v>0</v>
      </c>
      <c r="U14" s="69" cm="1">
        <f t="array" ref="U14">IF($E14=0,0,SUMPRODUCT(($F$4:$O$4&lt;K$4)*($F$4:$O$4&gt;=K$4-$E14)*($F14:$O14/$E14)))</f>
        <v>0</v>
      </c>
      <c r="V14" s="69" cm="1">
        <f t="array" ref="V14">IF($E14=0,0,SUMPRODUCT(($F$4:$O$4&lt;L$4)*($F$4:$O$4&gt;=L$4-$E14)*($F14:$O14/$E14)))</f>
        <v>0</v>
      </c>
      <c r="W14" s="69" cm="1">
        <f t="array" ref="W14">IF($E14=0,0,SUMPRODUCT(($F$4:$O$4&lt;M$4)*($F$4:$O$4&gt;=M$4-$E14)*($F14:$O14/$E14)))</f>
        <v>0</v>
      </c>
      <c r="X14" s="69" cm="1">
        <f t="array" ref="X14">IF($E14=0,0,SUMPRODUCT(($F$4:$O$4&lt;N$4)*($F$4:$O$4&gt;=N$4-$E14)*($F14:$O14/$E14)))</f>
        <v>0</v>
      </c>
      <c r="Y14" s="69" cm="1">
        <f t="array" ref="Y14">IF($E14=0,0,SUMPRODUCT(($F$4:$O$4&lt;O$4)*($F$4:$O$4&gt;=O$4-$E14)*($F14:$O14/$E14)))</f>
        <v>0</v>
      </c>
      <c r="Z14" s="69">
        <f>0</f>
        <v>0</v>
      </c>
      <c r="AA14" s="69">
        <f t="shared" si="2"/>
        <v>0</v>
      </c>
      <c r="AB14" s="69">
        <f t="shared" si="3"/>
        <v>0</v>
      </c>
      <c r="AC14" s="69">
        <f t="shared" si="4"/>
        <v>0</v>
      </c>
      <c r="AD14" s="69">
        <f t="shared" si="5"/>
        <v>0</v>
      </c>
      <c r="AE14" s="69">
        <f t="shared" si="6"/>
        <v>0</v>
      </c>
      <c r="AF14" s="69">
        <f t="shared" si="7"/>
        <v>0</v>
      </c>
      <c r="AG14" s="69">
        <f t="shared" si="8"/>
        <v>0</v>
      </c>
      <c r="AH14" s="69">
        <f t="shared" si="9"/>
        <v>0</v>
      </c>
      <c r="AI14" s="69">
        <f t="shared" si="10"/>
        <v>0</v>
      </c>
      <c r="AJ14" s="69">
        <f t="shared" si="11"/>
        <v>0</v>
      </c>
      <c r="AK14" s="69">
        <f t="shared" ref="AK14:AS14" si="20">AJ14+G14-Q14</f>
        <v>0</v>
      </c>
      <c r="AL14" s="69">
        <f t="shared" si="20"/>
        <v>0</v>
      </c>
      <c r="AM14" s="69">
        <f t="shared" si="20"/>
        <v>0</v>
      </c>
      <c r="AN14" s="69">
        <f t="shared" si="20"/>
        <v>0</v>
      </c>
      <c r="AO14" s="69">
        <f t="shared" si="20"/>
        <v>0</v>
      </c>
      <c r="AP14" s="69">
        <f t="shared" si="20"/>
        <v>0</v>
      </c>
      <c r="AQ14" s="69">
        <f t="shared" si="20"/>
        <v>0</v>
      </c>
      <c r="AR14" s="69">
        <f t="shared" si="20"/>
        <v>0</v>
      </c>
      <c r="AS14" s="69">
        <f t="shared" si="20"/>
        <v>0</v>
      </c>
    </row>
    <row r="15" spans="1:45">
      <c r="A15" s="57" t="str">
        <f>'2. Investicijos'!A15</f>
        <v>11.</v>
      </c>
      <c r="B15" s="57">
        <f>'2. Investicijos'!B15</f>
        <v>0</v>
      </c>
      <c r="C15" s="69">
        <f>MAX(0,'2. Investicijos'!N15-'2. Investicijos'!H15*'7. Pasirinktinis scenarijus'!$C$6)</f>
        <v>0</v>
      </c>
      <c r="D15" s="70">
        <f>IF('2. Investicijos'!O15="",0,'2. Investicijos'!O15/100)</f>
        <v>0</v>
      </c>
      <c r="E15" s="71">
        <f>IF('2. Investicijos'!P15="",0,'2. Investicijos'!P15)</f>
        <v>0</v>
      </c>
      <c r="F15" s="69">
        <f>IFERROR('4. Metinis CAPEX'!F19/'2. Investicijos'!H15*$C15,0)</f>
        <v>0</v>
      </c>
      <c r="G15" s="69">
        <f>IFERROR('4. Metinis CAPEX'!G19/'2. Investicijos'!H15*$C15,0)</f>
        <v>0</v>
      </c>
      <c r="H15" s="69">
        <f>IFERROR('4. Metinis CAPEX'!H19/'2. Investicijos'!H15*$C15,0)</f>
        <v>0</v>
      </c>
      <c r="I15" s="69">
        <f>IFERROR('4. Metinis CAPEX'!I19/'2. Investicijos'!H15*$C15,0)</f>
        <v>0</v>
      </c>
      <c r="J15" s="69">
        <f>IFERROR('4. Metinis CAPEX'!J19/'2. Investicijos'!H15*$C15,0)</f>
        <v>0</v>
      </c>
      <c r="K15" s="69">
        <f>IFERROR('4. Metinis CAPEX'!K19/'2. Investicijos'!H15*$C15,0)</f>
        <v>0</v>
      </c>
      <c r="L15" s="69">
        <f>IFERROR('4. Metinis CAPEX'!L19/'2. Investicijos'!H15*$C15,0)</f>
        <v>0</v>
      </c>
      <c r="M15" s="69">
        <f>IFERROR('4. Metinis CAPEX'!M19/'2. Investicijos'!H15*$C15,0)</f>
        <v>0</v>
      </c>
      <c r="N15" s="69">
        <f>IFERROR('4. Metinis CAPEX'!N19/'2. Investicijos'!H15*$C15,0)</f>
        <v>0</v>
      </c>
      <c r="O15" s="69">
        <f>IFERROR('4. Metinis CAPEX'!O19/'2. Investicijos'!H15*$C15,0)</f>
        <v>0</v>
      </c>
      <c r="P15" s="69" cm="1">
        <f t="array" ref="P15">IF($E15=0,0,SUMPRODUCT(($F$4:$O$4&lt;F$4)*($F$4:$O$4&gt;=F$4-$E15)*($F15:$O15/$E15)))</f>
        <v>0</v>
      </c>
      <c r="Q15" s="69" cm="1">
        <f t="array" ref="Q15">IF($E15=0,0,SUMPRODUCT(($F$4:$O$4&lt;G$4)*($F$4:$O$4&gt;=G$4-$E15)*($F15:$O15/$E15)))</f>
        <v>0</v>
      </c>
      <c r="R15" s="69" cm="1">
        <f t="array" ref="R15">IF($E15=0,0,SUMPRODUCT(($F$4:$O$4&lt;H$4)*($F$4:$O$4&gt;=H$4-$E15)*($F15:$O15/$E15)))</f>
        <v>0</v>
      </c>
      <c r="S15" s="69" cm="1">
        <f t="array" ref="S15">IF($E15=0,0,SUMPRODUCT(($F$4:$O$4&lt;I$4)*($F$4:$O$4&gt;=I$4-$E15)*($F15:$O15/$E15)))</f>
        <v>0</v>
      </c>
      <c r="T15" s="69" cm="1">
        <f t="array" ref="T15">IF($E15=0,0,SUMPRODUCT(($F$4:$O$4&lt;J$4)*($F$4:$O$4&gt;=J$4-$E15)*($F15:$O15/$E15)))</f>
        <v>0</v>
      </c>
      <c r="U15" s="69" cm="1">
        <f t="array" ref="U15">IF($E15=0,0,SUMPRODUCT(($F$4:$O$4&lt;K$4)*($F$4:$O$4&gt;=K$4-$E15)*($F15:$O15/$E15)))</f>
        <v>0</v>
      </c>
      <c r="V15" s="69" cm="1">
        <f t="array" ref="V15">IF($E15=0,0,SUMPRODUCT(($F$4:$O$4&lt;L$4)*($F$4:$O$4&gt;=L$4-$E15)*($F15:$O15/$E15)))</f>
        <v>0</v>
      </c>
      <c r="W15" s="69" cm="1">
        <f t="array" ref="W15">IF($E15=0,0,SUMPRODUCT(($F$4:$O$4&lt;M$4)*($F$4:$O$4&gt;=M$4-$E15)*($F15:$O15/$E15)))</f>
        <v>0</v>
      </c>
      <c r="X15" s="69" cm="1">
        <f t="array" ref="X15">IF($E15=0,0,SUMPRODUCT(($F$4:$O$4&lt;N$4)*($F$4:$O$4&gt;=N$4-$E15)*($F15:$O15/$E15)))</f>
        <v>0</v>
      </c>
      <c r="Y15" s="69" cm="1">
        <f t="array" ref="Y15">IF($E15=0,0,SUMPRODUCT(($F$4:$O$4&lt;O$4)*($F$4:$O$4&gt;=O$4-$E15)*($F15:$O15/$E15)))</f>
        <v>0</v>
      </c>
      <c r="Z15" s="69">
        <f>0</f>
        <v>0</v>
      </c>
      <c r="AA15" s="69">
        <f t="shared" si="2"/>
        <v>0</v>
      </c>
      <c r="AB15" s="69">
        <f t="shared" si="3"/>
        <v>0</v>
      </c>
      <c r="AC15" s="69">
        <f t="shared" si="4"/>
        <v>0</v>
      </c>
      <c r="AD15" s="69">
        <f t="shared" si="5"/>
        <v>0</v>
      </c>
      <c r="AE15" s="69">
        <f t="shared" si="6"/>
        <v>0</v>
      </c>
      <c r="AF15" s="69">
        <f t="shared" si="7"/>
        <v>0</v>
      </c>
      <c r="AG15" s="69">
        <f t="shared" si="8"/>
        <v>0</v>
      </c>
      <c r="AH15" s="69">
        <f t="shared" si="9"/>
        <v>0</v>
      </c>
      <c r="AI15" s="69">
        <f t="shared" si="10"/>
        <v>0</v>
      </c>
      <c r="AJ15" s="69">
        <f t="shared" si="11"/>
        <v>0</v>
      </c>
      <c r="AK15" s="69">
        <f t="shared" ref="AK15:AS15" si="21">AJ15+G15-Q15</f>
        <v>0</v>
      </c>
      <c r="AL15" s="69">
        <f t="shared" si="21"/>
        <v>0</v>
      </c>
      <c r="AM15" s="69">
        <f t="shared" si="21"/>
        <v>0</v>
      </c>
      <c r="AN15" s="69">
        <f t="shared" si="21"/>
        <v>0</v>
      </c>
      <c r="AO15" s="69">
        <f t="shared" si="21"/>
        <v>0</v>
      </c>
      <c r="AP15" s="69">
        <f t="shared" si="21"/>
        <v>0</v>
      </c>
      <c r="AQ15" s="69">
        <f t="shared" si="21"/>
        <v>0</v>
      </c>
      <c r="AR15" s="69">
        <f t="shared" si="21"/>
        <v>0</v>
      </c>
      <c r="AS15" s="69">
        <f t="shared" si="21"/>
        <v>0</v>
      </c>
    </row>
    <row r="16" spans="1:45">
      <c r="A16" s="57" t="str">
        <f>'2. Investicijos'!A16</f>
        <v>12.</v>
      </c>
      <c r="B16" s="57">
        <f>'2. Investicijos'!B16</f>
        <v>0</v>
      </c>
      <c r="C16" s="69">
        <f>MAX(0,'2. Investicijos'!N16-'2. Investicijos'!H16*'7. Pasirinktinis scenarijus'!$C$6)</f>
        <v>0</v>
      </c>
      <c r="D16" s="70">
        <f>IF('2. Investicijos'!O16="",0,'2. Investicijos'!O16/100)</f>
        <v>0</v>
      </c>
      <c r="E16" s="71">
        <f>IF('2. Investicijos'!P16="",0,'2. Investicijos'!P16)</f>
        <v>0</v>
      </c>
      <c r="F16" s="69">
        <f>IFERROR('4. Metinis CAPEX'!F20/'2. Investicijos'!H16*$C16,0)</f>
        <v>0</v>
      </c>
      <c r="G16" s="69">
        <f>IFERROR('4. Metinis CAPEX'!G20/'2. Investicijos'!H16*$C16,0)</f>
        <v>0</v>
      </c>
      <c r="H16" s="69">
        <f>IFERROR('4. Metinis CAPEX'!H20/'2. Investicijos'!H16*$C16,0)</f>
        <v>0</v>
      </c>
      <c r="I16" s="69">
        <f>IFERROR('4. Metinis CAPEX'!I20/'2. Investicijos'!H16*$C16,0)</f>
        <v>0</v>
      </c>
      <c r="J16" s="69">
        <f>IFERROR('4. Metinis CAPEX'!J20/'2. Investicijos'!H16*$C16,0)</f>
        <v>0</v>
      </c>
      <c r="K16" s="69">
        <f>IFERROR('4. Metinis CAPEX'!K20/'2. Investicijos'!H16*$C16,0)</f>
        <v>0</v>
      </c>
      <c r="L16" s="69">
        <f>IFERROR('4. Metinis CAPEX'!L20/'2. Investicijos'!H16*$C16,0)</f>
        <v>0</v>
      </c>
      <c r="M16" s="69">
        <f>IFERROR('4. Metinis CAPEX'!M20/'2. Investicijos'!H16*$C16,0)</f>
        <v>0</v>
      </c>
      <c r="N16" s="69">
        <f>IFERROR('4. Metinis CAPEX'!N20/'2. Investicijos'!H16*$C16,0)</f>
        <v>0</v>
      </c>
      <c r="O16" s="69">
        <f>IFERROR('4. Metinis CAPEX'!O20/'2. Investicijos'!H16*$C16,0)</f>
        <v>0</v>
      </c>
      <c r="P16" s="69" cm="1">
        <f t="array" ref="P16">IF($E16=0,0,SUMPRODUCT(($F$4:$O$4&lt;F$4)*($F$4:$O$4&gt;=F$4-$E16)*($F16:$O16/$E16)))</f>
        <v>0</v>
      </c>
      <c r="Q16" s="69" cm="1">
        <f t="array" ref="Q16">IF($E16=0,0,SUMPRODUCT(($F$4:$O$4&lt;G$4)*($F$4:$O$4&gt;=G$4-$E16)*($F16:$O16/$E16)))</f>
        <v>0</v>
      </c>
      <c r="R16" s="69" cm="1">
        <f t="array" ref="R16">IF($E16=0,0,SUMPRODUCT(($F$4:$O$4&lt;H$4)*($F$4:$O$4&gt;=H$4-$E16)*($F16:$O16/$E16)))</f>
        <v>0</v>
      </c>
      <c r="S16" s="69" cm="1">
        <f t="array" ref="S16">IF($E16=0,0,SUMPRODUCT(($F$4:$O$4&lt;I$4)*($F$4:$O$4&gt;=I$4-$E16)*($F16:$O16/$E16)))</f>
        <v>0</v>
      </c>
      <c r="T16" s="69" cm="1">
        <f t="array" ref="T16">IF($E16=0,0,SUMPRODUCT(($F$4:$O$4&lt;J$4)*($F$4:$O$4&gt;=J$4-$E16)*($F16:$O16/$E16)))</f>
        <v>0</v>
      </c>
      <c r="U16" s="69" cm="1">
        <f t="array" ref="U16">IF($E16=0,0,SUMPRODUCT(($F$4:$O$4&lt;K$4)*($F$4:$O$4&gt;=K$4-$E16)*($F16:$O16/$E16)))</f>
        <v>0</v>
      </c>
      <c r="V16" s="69" cm="1">
        <f t="array" ref="V16">IF($E16=0,0,SUMPRODUCT(($F$4:$O$4&lt;L$4)*($F$4:$O$4&gt;=L$4-$E16)*($F16:$O16/$E16)))</f>
        <v>0</v>
      </c>
      <c r="W16" s="69" cm="1">
        <f t="array" ref="W16">IF($E16=0,0,SUMPRODUCT(($F$4:$O$4&lt;M$4)*($F$4:$O$4&gt;=M$4-$E16)*($F16:$O16/$E16)))</f>
        <v>0</v>
      </c>
      <c r="X16" s="69" cm="1">
        <f t="array" ref="X16">IF($E16=0,0,SUMPRODUCT(($F$4:$O$4&lt;N$4)*($F$4:$O$4&gt;=N$4-$E16)*($F16:$O16/$E16)))</f>
        <v>0</v>
      </c>
      <c r="Y16" s="69" cm="1">
        <f t="array" ref="Y16">IF($E16=0,0,SUMPRODUCT(($F$4:$O$4&lt;O$4)*($F$4:$O$4&gt;=O$4-$E16)*($F16:$O16/$E16)))</f>
        <v>0</v>
      </c>
      <c r="Z16" s="69">
        <f>0</f>
        <v>0</v>
      </c>
      <c r="AA16" s="69">
        <f t="shared" si="2"/>
        <v>0</v>
      </c>
      <c r="AB16" s="69">
        <f t="shared" si="3"/>
        <v>0</v>
      </c>
      <c r="AC16" s="69">
        <f t="shared" si="4"/>
        <v>0</v>
      </c>
      <c r="AD16" s="69">
        <f t="shared" si="5"/>
        <v>0</v>
      </c>
      <c r="AE16" s="69">
        <f t="shared" si="6"/>
        <v>0</v>
      </c>
      <c r="AF16" s="69">
        <f t="shared" si="7"/>
        <v>0</v>
      </c>
      <c r="AG16" s="69">
        <f t="shared" si="8"/>
        <v>0</v>
      </c>
      <c r="AH16" s="69">
        <f t="shared" si="9"/>
        <v>0</v>
      </c>
      <c r="AI16" s="69">
        <f t="shared" si="10"/>
        <v>0</v>
      </c>
      <c r="AJ16" s="69">
        <f t="shared" si="11"/>
        <v>0</v>
      </c>
      <c r="AK16" s="69">
        <f t="shared" ref="AK16:AS16" si="22">AJ16+G16-Q16</f>
        <v>0</v>
      </c>
      <c r="AL16" s="69">
        <f t="shared" si="22"/>
        <v>0</v>
      </c>
      <c r="AM16" s="69">
        <f t="shared" si="22"/>
        <v>0</v>
      </c>
      <c r="AN16" s="69">
        <f t="shared" si="22"/>
        <v>0</v>
      </c>
      <c r="AO16" s="69">
        <f t="shared" si="22"/>
        <v>0</v>
      </c>
      <c r="AP16" s="69">
        <f t="shared" si="22"/>
        <v>0</v>
      </c>
      <c r="AQ16" s="69">
        <f t="shared" si="22"/>
        <v>0</v>
      </c>
      <c r="AR16" s="69">
        <f t="shared" si="22"/>
        <v>0</v>
      </c>
      <c r="AS16" s="69">
        <f t="shared" si="22"/>
        <v>0</v>
      </c>
    </row>
    <row r="17" spans="1:45">
      <c r="A17" s="57" t="str">
        <f>'2. Investicijos'!A17</f>
        <v>13.</v>
      </c>
      <c r="B17" s="57">
        <f>'2. Investicijos'!B17</f>
        <v>0</v>
      </c>
      <c r="C17" s="69">
        <f>MAX(0,'2. Investicijos'!N17-'2. Investicijos'!H17*'7. Pasirinktinis scenarijus'!$C$6)</f>
        <v>0</v>
      </c>
      <c r="D17" s="70">
        <f>IF('2. Investicijos'!O17="",0,'2. Investicijos'!O17/100)</f>
        <v>0</v>
      </c>
      <c r="E17" s="71">
        <f>IF('2. Investicijos'!P17="",0,'2. Investicijos'!P17)</f>
        <v>0</v>
      </c>
      <c r="F17" s="69">
        <f>IFERROR('4. Metinis CAPEX'!F21/'2. Investicijos'!H17*$C17,0)</f>
        <v>0</v>
      </c>
      <c r="G17" s="69">
        <f>IFERROR('4. Metinis CAPEX'!G21/'2. Investicijos'!H17*$C17,0)</f>
        <v>0</v>
      </c>
      <c r="H17" s="69">
        <f>IFERROR('4. Metinis CAPEX'!H21/'2. Investicijos'!H17*$C17,0)</f>
        <v>0</v>
      </c>
      <c r="I17" s="69">
        <f>IFERROR('4. Metinis CAPEX'!I21/'2. Investicijos'!H17*$C17,0)</f>
        <v>0</v>
      </c>
      <c r="J17" s="69">
        <f>IFERROR('4. Metinis CAPEX'!J21/'2. Investicijos'!H17*$C17,0)</f>
        <v>0</v>
      </c>
      <c r="K17" s="69">
        <f>IFERROR('4. Metinis CAPEX'!K21/'2. Investicijos'!H17*$C17,0)</f>
        <v>0</v>
      </c>
      <c r="L17" s="69">
        <f>IFERROR('4. Metinis CAPEX'!L21/'2. Investicijos'!H17*$C17,0)</f>
        <v>0</v>
      </c>
      <c r="M17" s="69">
        <f>IFERROR('4. Metinis CAPEX'!M21/'2. Investicijos'!H17*$C17,0)</f>
        <v>0</v>
      </c>
      <c r="N17" s="69">
        <f>IFERROR('4. Metinis CAPEX'!N21/'2. Investicijos'!H17*$C17,0)</f>
        <v>0</v>
      </c>
      <c r="O17" s="69">
        <f>IFERROR('4. Metinis CAPEX'!O21/'2. Investicijos'!H17*$C17,0)</f>
        <v>0</v>
      </c>
      <c r="P17" s="69" cm="1">
        <f t="array" ref="P17">IF($E17=0,0,SUMPRODUCT(($F$4:$O$4&lt;F$4)*($F$4:$O$4&gt;=F$4-$E17)*($F17:$O17/$E17)))</f>
        <v>0</v>
      </c>
      <c r="Q17" s="69" cm="1">
        <f t="array" ref="Q17">IF($E17=0,0,SUMPRODUCT(($F$4:$O$4&lt;G$4)*($F$4:$O$4&gt;=G$4-$E17)*($F17:$O17/$E17)))</f>
        <v>0</v>
      </c>
      <c r="R17" s="69" cm="1">
        <f t="array" ref="R17">IF($E17=0,0,SUMPRODUCT(($F$4:$O$4&lt;H$4)*($F$4:$O$4&gt;=H$4-$E17)*($F17:$O17/$E17)))</f>
        <v>0</v>
      </c>
      <c r="S17" s="69" cm="1">
        <f t="array" ref="S17">IF($E17=0,0,SUMPRODUCT(($F$4:$O$4&lt;I$4)*($F$4:$O$4&gt;=I$4-$E17)*($F17:$O17/$E17)))</f>
        <v>0</v>
      </c>
      <c r="T17" s="69" cm="1">
        <f t="array" ref="T17">IF($E17=0,0,SUMPRODUCT(($F$4:$O$4&lt;J$4)*($F$4:$O$4&gt;=J$4-$E17)*($F17:$O17/$E17)))</f>
        <v>0</v>
      </c>
      <c r="U17" s="69" cm="1">
        <f t="array" ref="U17">IF($E17=0,0,SUMPRODUCT(($F$4:$O$4&lt;K$4)*($F$4:$O$4&gt;=K$4-$E17)*($F17:$O17/$E17)))</f>
        <v>0</v>
      </c>
      <c r="V17" s="69" cm="1">
        <f t="array" ref="V17">IF($E17=0,0,SUMPRODUCT(($F$4:$O$4&lt;L$4)*($F$4:$O$4&gt;=L$4-$E17)*($F17:$O17/$E17)))</f>
        <v>0</v>
      </c>
      <c r="W17" s="69" cm="1">
        <f t="array" ref="W17">IF($E17=0,0,SUMPRODUCT(($F$4:$O$4&lt;M$4)*($F$4:$O$4&gt;=M$4-$E17)*($F17:$O17/$E17)))</f>
        <v>0</v>
      </c>
      <c r="X17" s="69" cm="1">
        <f t="array" ref="X17">IF($E17=0,0,SUMPRODUCT(($F$4:$O$4&lt;N$4)*($F$4:$O$4&gt;=N$4-$E17)*($F17:$O17/$E17)))</f>
        <v>0</v>
      </c>
      <c r="Y17" s="69" cm="1">
        <f t="array" ref="Y17">IF($E17=0,0,SUMPRODUCT(($F$4:$O$4&lt;O$4)*($F$4:$O$4&gt;=O$4-$E17)*($F17:$O17/$E17)))</f>
        <v>0</v>
      </c>
      <c r="Z17" s="69">
        <f>0</f>
        <v>0</v>
      </c>
      <c r="AA17" s="69">
        <f t="shared" si="2"/>
        <v>0</v>
      </c>
      <c r="AB17" s="69">
        <f t="shared" si="3"/>
        <v>0</v>
      </c>
      <c r="AC17" s="69">
        <f t="shared" si="4"/>
        <v>0</v>
      </c>
      <c r="AD17" s="69">
        <f t="shared" si="5"/>
        <v>0</v>
      </c>
      <c r="AE17" s="69">
        <f t="shared" si="6"/>
        <v>0</v>
      </c>
      <c r="AF17" s="69">
        <f t="shared" si="7"/>
        <v>0</v>
      </c>
      <c r="AG17" s="69">
        <f t="shared" si="8"/>
        <v>0</v>
      </c>
      <c r="AH17" s="69">
        <f t="shared" si="9"/>
        <v>0</v>
      </c>
      <c r="AI17" s="69">
        <f t="shared" si="10"/>
        <v>0</v>
      </c>
      <c r="AJ17" s="69">
        <f t="shared" si="11"/>
        <v>0</v>
      </c>
      <c r="AK17" s="69">
        <f t="shared" ref="AK17:AS17" si="23">AJ17+G17-Q17</f>
        <v>0</v>
      </c>
      <c r="AL17" s="69">
        <f t="shared" si="23"/>
        <v>0</v>
      </c>
      <c r="AM17" s="69">
        <f t="shared" si="23"/>
        <v>0</v>
      </c>
      <c r="AN17" s="69">
        <f t="shared" si="23"/>
        <v>0</v>
      </c>
      <c r="AO17" s="69">
        <f t="shared" si="23"/>
        <v>0</v>
      </c>
      <c r="AP17" s="69">
        <f t="shared" si="23"/>
        <v>0</v>
      </c>
      <c r="AQ17" s="69">
        <f t="shared" si="23"/>
        <v>0</v>
      </c>
      <c r="AR17" s="69">
        <f t="shared" si="23"/>
        <v>0</v>
      </c>
      <c r="AS17" s="69">
        <f t="shared" si="23"/>
        <v>0</v>
      </c>
    </row>
    <row r="18" spans="1:45">
      <c r="A18" s="57" t="str">
        <f>'2. Investicijos'!A18</f>
        <v>14.</v>
      </c>
      <c r="B18" s="57">
        <f>'2. Investicijos'!B18</f>
        <v>0</v>
      </c>
      <c r="C18" s="69">
        <f>MAX(0,'2. Investicijos'!N18-'2. Investicijos'!H18*'7. Pasirinktinis scenarijus'!$C$6)</f>
        <v>0</v>
      </c>
      <c r="D18" s="70">
        <f>IF('2. Investicijos'!O18="",0,'2. Investicijos'!O18/100)</f>
        <v>0</v>
      </c>
      <c r="E18" s="71">
        <f>IF('2. Investicijos'!P18="",0,'2. Investicijos'!P18)</f>
        <v>0</v>
      </c>
      <c r="F18" s="69">
        <f>IFERROR('4. Metinis CAPEX'!F22/'2. Investicijos'!H18*$C18,0)</f>
        <v>0</v>
      </c>
      <c r="G18" s="69">
        <f>IFERROR('4. Metinis CAPEX'!G22/'2. Investicijos'!H18*$C18,0)</f>
        <v>0</v>
      </c>
      <c r="H18" s="69">
        <f>IFERROR('4. Metinis CAPEX'!H22/'2. Investicijos'!H18*$C18,0)</f>
        <v>0</v>
      </c>
      <c r="I18" s="69">
        <f>IFERROR('4. Metinis CAPEX'!I22/'2. Investicijos'!H18*$C18,0)</f>
        <v>0</v>
      </c>
      <c r="J18" s="69">
        <f>IFERROR('4. Metinis CAPEX'!J22/'2. Investicijos'!H18*$C18,0)</f>
        <v>0</v>
      </c>
      <c r="K18" s="69">
        <f>IFERROR('4. Metinis CAPEX'!K22/'2. Investicijos'!H18*$C18,0)</f>
        <v>0</v>
      </c>
      <c r="L18" s="69">
        <f>IFERROR('4. Metinis CAPEX'!L22/'2. Investicijos'!H18*$C18,0)</f>
        <v>0</v>
      </c>
      <c r="M18" s="69">
        <f>IFERROR('4. Metinis CAPEX'!M22/'2. Investicijos'!H18*$C18,0)</f>
        <v>0</v>
      </c>
      <c r="N18" s="69">
        <f>IFERROR('4. Metinis CAPEX'!N22/'2. Investicijos'!H18*$C18,0)</f>
        <v>0</v>
      </c>
      <c r="O18" s="69">
        <f>IFERROR('4. Metinis CAPEX'!O22/'2. Investicijos'!H18*$C18,0)</f>
        <v>0</v>
      </c>
      <c r="P18" s="69" cm="1">
        <f t="array" ref="P18">IF($E18=0,0,SUMPRODUCT(($F$4:$O$4&lt;F$4)*($F$4:$O$4&gt;=F$4-$E18)*($F18:$O18/$E18)))</f>
        <v>0</v>
      </c>
      <c r="Q18" s="69" cm="1">
        <f t="array" ref="Q18">IF($E18=0,0,SUMPRODUCT(($F$4:$O$4&lt;G$4)*($F$4:$O$4&gt;=G$4-$E18)*($F18:$O18/$E18)))</f>
        <v>0</v>
      </c>
      <c r="R18" s="69" cm="1">
        <f t="array" ref="R18">IF($E18=0,0,SUMPRODUCT(($F$4:$O$4&lt;H$4)*($F$4:$O$4&gt;=H$4-$E18)*($F18:$O18/$E18)))</f>
        <v>0</v>
      </c>
      <c r="S18" s="69" cm="1">
        <f t="array" ref="S18">IF($E18=0,0,SUMPRODUCT(($F$4:$O$4&lt;I$4)*($F$4:$O$4&gt;=I$4-$E18)*($F18:$O18/$E18)))</f>
        <v>0</v>
      </c>
      <c r="T18" s="69" cm="1">
        <f t="array" ref="T18">IF($E18=0,0,SUMPRODUCT(($F$4:$O$4&lt;J$4)*($F$4:$O$4&gt;=J$4-$E18)*($F18:$O18/$E18)))</f>
        <v>0</v>
      </c>
      <c r="U18" s="69" cm="1">
        <f t="array" ref="U18">IF($E18=0,0,SUMPRODUCT(($F$4:$O$4&lt;K$4)*($F$4:$O$4&gt;=K$4-$E18)*($F18:$O18/$E18)))</f>
        <v>0</v>
      </c>
      <c r="V18" s="69" cm="1">
        <f t="array" ref="V18">IF($E18=0,0,SUMPRODUCT(($F$4:$O$4&lt;L$4)*($F$4:$O$4&gt;=L$4-$E18)*($F18:$O18/$E18)))</f>
        <v>0</v>
      </c>
      <c r="W18" s="69" cm="1">
        <f t="array" ref="W18">IF($E18=0,0,SUMPRODUCT(($F$4:$O$4&lt;M$4)*($F$4:$O$4&gt;=M$4-$E18)*($F18:$O18/$E18)))</f>
        <v>0</v>
      </c>
      <c r="X18" s="69" cm="1">
        <f t="array" ref="X18">IF($E18=0,0,SUMPRODUCT(($F$4:$O$4&lt;N$4)*($F$4:$O$4&gt;=N$4-$E18)*($F18:$O18/$E18)))</f>
        <v>0</v>
      </c>
      <c r="Y18" s="69" cm="1">
        <f t="array" ref="Y18">IF($E18=0,0,SUMPRODUCT(($F$4:$O$4&lt;O$4)*($F$4:$O$4&gt;=O$4-$E18)*($F18:$O18/$E18)))</f>
        <v>0</v>
      </c>
      <c r="Z18" s="69">
        <f>0</f>
        <v>0</v>
      </c>
      <c r="AA18" s="69">
        <f t="shared" si="2"/>
        <v>0</v>
      </c>
      <c r="AB18" s="69">
        <f t="shared" si="3"/>
        <v>0</v>
      </c>
      <c r="AC18" s="69">
        <f t="shared" si="4"/>
        <v>0</v>
      </c>
      <c r="AD18" s="69">
        <f t="shared" si="5"/>
        <v>0</v>
      </c>
      <c r="AE18" s="69">
        <f t="shared" si="6"/>
        <v>0</v>
      </c>
      <c r="AF18" s="69">
        <f t="shared" si="7"/>
        <v>0</v>
      </c>
      <c r="AG18" s="69">
        <f t="shared" si="8"/>
        <v>0</v>
      </c>
      <c r="AH18" s="69">
        <f t="shared" si="9"/>
        <v>0</v>
      </c>
      <c r="AI18" s="69">
        <f t="shared" si="10"/>
        <v>0</v>
      </c>
      <c r="AJ18" s="69">
        <f t="shared" si="11"/>
        <v>0</v>
      </c>
      <c r="AK18" s="69">
        <f t="shared" ref="AK18:AS18" si="24">AJ18+G18-Q18</f>
        <v>0</v>
      </c>
      <c r="AL18" s="69">
        <f t="shared" si="24"/>
        <v>0</v>
      </c>
      <c r="AM18" s="69">
        <f t="shared" si="24"/>
        <v>0</v>
      </c>
      <c r="AN18" s="69">
        <f t="shared" si="24"/>
        <v>0</v>
      </c>
      <c r="AO18" s="69">
        <f t="shared" si="24"/>
        <v>0</v>
      </c>
      <c r="AP18" s="69">
        <f t="shared" si="24"/>
        <v>0</v>
      </c>
      <c r="AQ18" s="69">
        <f t="shared" si="24"/>
        <v>0</v>
      </c>
      <c r="AR18" s="69">
        <f t="shared" si="24"/>
        <v>0</v>
      </c>
      <c r="AS18" s="69">
        <f t="shared" si="24"/>
        <v>0</v>
      </c>
    </row>
    <row r="19" spans="1:45">
      <c r="A19" s="57" t="str">
        <f>'2. Investicijos'!A19</f>
        <v>15.</v>
      </c>
      <c r="B19" s="57">
        <f>'2. Investicijos'!B19</f>
        <v>0</v>
      </c>
      <c r="C19" s="69">
        <f>MAX(0,'2. Investicijos'!N19-'2. Investicijos'!H19*'7. Pasirinktinis scenarijus'!$C$6)</f>
        <v>0</v>
      </c>
      <c r="D19" s="70">
        <f>IF('2. Investicijos'!O19="",0,'2. Investicijos'!O19/100)</f>
        <v>0</v>
      </c>
      <c r="E19" s="71">
        <f>IF('2. Investicijos'!P19="",0,'2. Investicijos'!P19)</f>
        <v>0</v>
      </c>
      <c r="F19" s="69">
        <f>IFERROR('4. Metinis CAPEX'!F23/'2. Investicijos'!H19*$C19,0)</f>
        <v>0</v>
      </c>
      <c r="G19" s="69">
        <f>IFERROR('4. Metinis CAPEX'!G23/'2. Investicijos'!H19*$C19,0)</f>
        <v>0</v>
      </c>
      <c r="H19" s="69">
        <f>IFERROR('4. Metinis CAPEX'!H23/'2. Investicijos'!H19*$C19,0)</f>
        <v>0</v>
      </c>
      <c r="I19" s="69">
        <f>IFERROR('4. Metinis CAPEX'!I23/'2. Investicijos'!H19*$C19,0)</f>
        <v>0</v>
      </c>
      <c r="J19" s="69">
        <f>IFERROR('4. Metinis CAPEX'!J23/'2. Investicijos'!H19*$C19,0)</f>
        <v>0</v>
      </c>
      <c r="K19" s="69">
        <f>IFERROR('4. Metinis CAPEX'!K23/'2. Investicijos'!H19*$C19,0)</f>
        <v>0</v>
      </c>
      <c r="L19" s="69">
        <f>IFERROR('4. Metinis CAPEX'!L23/'2. Investicijos'!H19*$C19,0)</f>
        <v>0</v>
      </c>
      <c r="M19" s="69">
        <f>IFERROR('4. Metinis CAPEX'!M23/'2. Investicijos'!H19*$C19,0)</f>
        <v>0</v>
      </c>
      <c r="N19" s="69">
        <f>IFERROR('4. Metinis CAPEX'!N23/'2. Investicijos'!H19*$C19,0)</f>
        <v>0</v>
      </c>
      <c r="O19" s="69">
        <f>IFERROR('4. Metinis CAPEX'!O23/'2. Investicijos'!H19*$C19,0)</f>
        <v>0</v>
      </c>
      <c r="P19" s="69" cm="1">
        <f t="array" ref="P19">IF($E19=0,0,SUMPRODUCT(($F$4:$O$4&lt;F$4)*($F$4:$O$4&gt;=F$4-$E19)*($F19:$O19/$E19)))</f>
        <v>0</v>
      </c>
      <c r="Q19" s="69" cm="1">
        <f t="array" ref="Q19">IF($E19=0,0,SUMPRODUCT(($F$4:$O$4&lt;G$4)*($F$4:$O$4&gt;=G$4-$E19)*($F19:$O19/$E19)))</f>
        <v>0</v>
      </c>
      <c r="R19" s="69" cm="1">
        <f t="array" ref="R19">IF($E19=0,0,SUMPRODUCT(($F$4:$O$4&lt;H$4)*($F$4:$O$4&gt;=H$4-$E19)*($F19:$O19/$E19)))</f>
        <v>0</v>
      </c>
      <c r="S19" s="69" cm="1">
        <f t="array" ref="S19">IF($E19=0,0,SUMPRODUCT(($F$4:$O$4&lt;I$4)*($F$4:$O$4&gt;=I$4-$E19)*($F19:$O19/$E19)))</f>
        <v>0</v>
      </c>
      <c r="T19" s="69" cm="1">
        <f t="array" ref="T19">IF($E19=0,0,SUMPRODUCT(($F$4:$O$4&lt;J$4)*($F$4:$O$4&gt;=J$4-$E19)*($F19:$O19/$E19)))</f>
        <v>0</v>
      </c>
      <c r="U19" s="69" cm="1">
        <f t="array" ref="U19">IF($E19=0,0,SUMPRODUCT(($F$4:$O$4&lt;K$4)*($F$4:$O$4&gt;=K$4-$E19)*($F19:$O19/$E19)))</f>
        <v>0</v>
      </c>
      <c r="V19" s="69" cm="1">
        <f t="array" ref="V19">IF($E19=0,0,SUMPRODUCT(($F$4:$O$4&lt;L$4)*($F$4:$O$4&gt;=L$4-$E19)*($F19:$O19/$E19)))</f>
        <v>0</v>
      </c>
      <c r="W19" s="69" cm="1">
        <f t="array" ref="W19">IF($E19=0,0,SUMPRODUCT(($F$4:$O$4&lt;M$4)*($F$4:$O$4&gt;=M$4-$E19)*($F19:$O19/$E19)))</f>
        <v>0</v>
      </c>
      <c r="X19" s="69" cm="1">
        <f t="array" ref="X19">IF($E19=0,0,SUMPRODUCT(($F$4:$O$4&lt;N$4)*($F$4:$O$4&gt;=N$4-$E19)*($F19:$O19/$E19)))</f>
        <v>0</v>
      </c>
      <c r="Y19" s="69" cm="1">
        <f t="array" ref="Y19">IF($E19=0,0,SUMPRODUCT(($F$4:$O$4&lt;O$4)*($F$4:$O$4&gt;=O$4-$E19)*($F19:$O19/$E19)))</f>
        <v>0</v>
      </c>
      <c r="Z19" s="69">
        <f>0</f>
        <v>0</v>
      </c>
      <c r="AA19" s="69">
        <f t="shared" si="2"/>
        <v>0</v>
      </c>
      <c r="AB19" s="69">
        <f t="shared" si="3"/>
        <v>0</v>
      </c>
      <c r="AC19" s="69">
        <f t="shared" si="4"/>
        <v>0</v>
      </c>
      <c r="AD19" s="69">
        <f t="shared" si="5"/>
        <v>0</v>
      </c>
      <c r="AE19" s="69">
        <f t="shared" si="6"/>
        <v>0</v>
      </c>
      <c r="AF19" s="69">
        <f t="shared" si="7"/>
        <v>0</v>
      </c>
      <c r="AG19" s="69">
        <f t="shared" si="8"/>
        <v>0</v>
      </c>
      <c r="AH19" s="69">
        <f t="shared" si="9"/>
        <v>0</v>
      </c>
      <c r="AI19" s="69">
        <f t="shared" si="10"/>
        <v>0</v>
      </c>
      <c r="AJ19" s="69">
        <f t="shared" si="11"/>
        <v>0</v>
      </c>
      <c r="AK19" s="69">
        <f t="shared" ref="AK19:AS19" si="25">AJ19+G19-Q19</f>
        <v>0</v>
      </c>
      <c r="AL19" s="69">
        <f t="shared" si="25"/>
        <v>0</v>
      </c>
      <c r="AM19" s="69">
        <f t="shared" si="25"/>
        <v>0</v>
      </c>
      <c r="AN19" s="69">
        <f t="shared" si="25"/>
        <v>0</v>
      </c>
      <c r="AO19" s="69">
        <f t="shared" si="25"/>
        <v>0</v>
      </c>
      <c r="AP19" s="69">
        <f t="shared" si="25"/>
        <v>0</v>
      </c>
      <c r="AQ19" s="69">
        <f t="shared" si="25"/>
        <v>0</v>
      </c>
      <c r="AR19" s="69">
        <f t="shared" si="25"/>
        <v>0</v>
      </c>
      <c r="AS19" s="69">
        <f t="shared" si="25"/>
        <v>0</v>
      </c>
    </row>
    <row r="20" spans="1:45">
      <c r="A20" s="57" t="str">
        <f>'2. Investicijos'!A20</f>
        <v>16.</v>
      </c>
      <c r="B20" s="57">
        <f>'2. Investicijos'!B20</f>
        <v>0</v>
      </c>
      <c r="C20" s="69">
        <f>MAX(0,'2. Investicijos'!N20-'2. Investicijos'!H20*'7. Pasirinktinis scenarijus'!$C$6)</f>
        <v>0</v>
      </c>
      <c r="D20" s="70">
        <f>IF('2. Investicijos'!O20="",0,'2. Investicijos'!O20/100)</f>
        <v>0</v>
      </c>
      <c r="E20" s="71">
        <f>IF('2. Investicijos'!P20="",0,'2. Investicijos'!P20)</f>
        <v>0</v>
      </c>
      <c r="F20" s="69">
        <f>IFERROR('4. Metinis CAPEX'!F24/'2. Investicijos'!H20*$C20,0)</f>
        <v>0</v>
      </c>
      <c r="G20" s="69">
        <f>IFERROR('4. Metinis CAPEX'!G24/'2. Investicijos'!H20*$C20,0)</f>
        <v>0</v>
      </c>
      <c r="H20" s="69">
        <f>IFERROR('4. Metinis CAPEX'!H24/'2. Investicijos'!H20*$C20,0)</f>
        <v>0</v>
      </c>
      <c r="I20" s="69">
        <f>IFERROR('4. Metinis CAPEX'!I24/'2. Investicijos'!H20*$C20,0)</f>
        <v>0</v>
      </c>
      <c r="J20" s="69">
        <f>IFERROR('4. Metinis CAPEX'!J24/'2. Investicijos'!H20*$C20,0)</f>
        <v>0</v>
      </c>
      <c r="K20" s="69">
        <f>IFERROR('4. Metinis CAPEX'!K24/'2. Investicijos'!H20*$C20,0)</f>
        <v>0</v>
      </c>
      <c r="L20" s="69">
        <f>IFERROR('4. Metinis CAPEX'!L24/'2. Investicijos'!H20*$C20,0)</f>
        <v>0</v>
      </c>
      <c r="M20" s="69">
        <f>IFERROR('4. Metinis CAPEX'!M24/'2. Investicijos'!H20*$C20,0)</f>
        <v>0</v>
      </c>
      <c r="N20" s="69">
        <f>IFERROR('4. Metinis CAPEX'!N24/'2. Investicijos'!H20*$C20,0)</f>
        <v>0</v>
      </c>
      <c r="O20" s="69">
        <f>IFERROR('4. Metinis CAPEX'!O24/'2. Investicijos'!H20*$C20,0)</f>
        <v>0</v>
      </c>
      <c r="P20" s="69" cm="1">
        <f t="array" ref="P20">IF($E20=0,0,SUMPRODUCT(($F$4:$O$4&lt;F$4)*($F$4:$O$4&gt;=F$4-$E20)*($F20:$O20/$E20)))</f>
        <v>0</v>
      </c>
      <c r="Q20" s="69" cm="1">
        <f t="array" ref="Q20">IF($E20=0,0,SUMPRODUCT(($F$4:$O$4&lt;G$4)*($F$4:$O$4&gt;=G$4-$E20)*($F20:$O20/$E20)))</f>
        <v>0</v>
      </c>
      <c r="R20" s="69" cm="1">
        <f t="array" ref="R20">IF($E20=0,0,SUMPRODUCT(($F$4:$O$4&lt;H$4)*($F$4:$O$4&gt;=H$4-$E20)*($F20:$O20/$E20)))</f>
        <v>0</v>
      </c>
      <c r="S20" s="69" cm="1">
        <f t="array" ref="S20">IF($E20=0,0,SUMPRODUCT(($F$4:$O$4&lt;I$4)*($F$4:$O$4&gt;=I$4-$E20)*($F20:$O20/$E20)))</f>
        <v>0</v>
      </c>
      <c r="T20" s="69" cm="1">
        <f t="array" ref="T20">IF($E20=0,0,SUMPRODUCT(($F$4:$O$4&lt;J$4)*($F$4:$O$4&gt;=J$4-$E20)*($F20:$O20/$E20)))</f>
        <v>0</v>
      </c>
      <c r="U20" s="69" cm="1">
        <f t="array" ref="U20">IF($E20=0,0,SUMPRODUCT(($F$4:$O$4&lt;K$4)*($F$4:$O$4&gt;=K$4-$E20)*($F20:$O20/$E20)))</f>
        <v>0</v>
      </c>
      <c r="V20" s="69" cm="1">
        <f t="array" ref="V20">IF($E20=0,0,SUMPRODUCT(($F$4:$O$4&lt;L$4)*($F$4:$O$4&gt;=L$4-$E20)*($F20:$O20/$E20)))</f>
        <v>0</v>
      </c>
      <c r="W20" s="69" cm="1">
        <f t="array" ref="W20">IF($E20=0,0,SUMPRODUCT(($F$4:$O$4&lt;M$4)*($F$4:$O$4&gt;=M$4-$E20)*($F20:$O20/$E20)))</f>
        <v>0</v>
      </c>
      <c r="X20" s="69" cm="1">
        <f t="array" ref="X20">IF($E20=0,0,SUMPRODUCT(($F$4:$O$4&lt;N$4)*($F$4:$O$4&gt;=N$4-$E20)*($F20:$O20/$E20)))</f>
        <v>0</v>
      </c>
      <c r="Y20" s="69" cm="1">
        <f t="array" ref="Y20">IF($E20=0,0,SUMPRODUCT(($F$4:$O$4&lt;O$4)*($F$4:$O$4&gt;=O$4-$E20)*($F20:$O20/$E20)))</f>
        <v>0</v>
      </c>
      <c r="Z20" s="69">
        <f>0</f>
        <v>0</v>
      </c>
      <c r="AA20" s="69">
        <f t="shared" si="2"/>
        <v>0</v>
      </c>
      <c r="AB20" s="69">
        <f t="shared" si="3"/>
        <v>0</v>
      </c>
      <c r="AC20" s="69">
        <f t="shared" si="4"/>
        <v>0</v>
      </c>
      <c r="AD20" s="69">
        <f t="shared" si="5"/>
        <v>0</v>
      </c>
      <c r="AE20" s="69">
        <f t="shared" si="6"/>
        <v>0</v>
      </c>
      <c r="AF20" s="69">
        <f t="shared" si="7"/>
        <v>0</v>
      </c>
      <c r="AG20" s="69">
        <f t="shared" si="8"/>
        <v>0</v>
      </c>
      <c r="AH20" s="69">
        <f t="shared" si="9"/>
        <v>0</v>
      </c>
      <c r="AI20" s="69">
        <f t="shared" si="10"/>
        <v>0</v>
      </c>
      <c r="AJ20" s="69">
        <f t="shared" si="11"/>
        <v>0</v>
      </c>
      <c r="AK20" s="69">
        <f t="shared" ref="AK20:AS20" si="26">AJ20+G20-Q20</f>
        <v>0</v>
      </c>
      <c r="AL20" s="69">
        <f t="shared" si="26"/>
        <v>0</v>
      </c>
      <c r="AM20" s="69">
        <f t="shared" si="26"/>
        <v>0</v>
      </c>
      <c r="AN20" s="69">
        <f t="shared" si="26"/>
        <v>0</v>
      </c>
      <c r="AO20" s="69">
        <f t="shared" si="26"/>
        <v>0</v>
      </c>
      <c r="AP20" s="69">
        <f t="shared" si="26"/>
        <v>0</v>
      </c>
      <c r="AQ20" s="69">
        <f t="shared" si="26"/>
        <v>0</v>
      </c>
      <c r="AR20" s="69">
        <f t="shared" si="26"/>
        <v>0</v>
      </c>
      <c r="AS20" s="69">
        <f t="shared" si="26"/>
        <v>0</v>
      </c>
    </row>
    <row r="21" spans="1:45">
      <c r="A21" s="57" t="str">
        <f>'2. Investicijos'!A21</f>
        <v>17.</v>
      </c>
      <c r="B21" s="57">
        <f>'2. Investicijos'!B21</f>
        <v>0</v>
      </c>
      <c r="C21" s="69">
        <f>MAX(0,'2. Investicijos'!N21-'2. Investicijos'!H21*'7. Pasirinktinis scenarijus'!$C$6)</f>
        <v>0</v>
      </c>
      <c r="D21" s="70">
        <f>IF('2. Investicijos'!O21="",0,'2. Investicijos'!O21/100)</f>
        <v>0</v>
      </c>
      <c r="E21" s="71">
        <f>IF('2. Investicijos'!P21="",0,'2. Investicijos'!P21)</f>
        <v>0</v>
      </c>
      <c r="F21" s="69">
        <f>IFERROR('4. Metinis CAPEX'!F25/'2. Investicijos'!H21*$C21,0)</f>
        <v>0</v>
      </c>
      <c r="G21" s="69">
        <f>IFERROR('4. Metinis CAPEX'!G25/'2. Investicijos'!H21*$C21,0)</f>
        <v>0</v>
      </c>
      <c r="H21" s="69">
        <f>IFERROR('4. Metinis CAPEX'!H25/'2. Investicijos'!H21*$C21,0)</f>
        <v>0</v>
      </c>
      <c r="I21" s="69">
        <f>IFERROR('4. Metinis CAPEX'!I25/'2. Investicijos'!H21*$C21,0)</f>
        <v>0</v>
      </c>
      <c r="J21" s="69">
        <f>IFERROR('4. Metinis CAPEX'!J25/'2. Investicijos'!H21*$C21,0)</f>
        <v>0</v>
      </c>
      <c r="K21" s="69">
        <f>IFERROR('4. Metinis CAPEX'!K25/'2. Investicijos'!H21*$C21,0)</f>
        <v>0</v>
      </c>
      <c r="L21" s="69">
        <f>IFERROR('4. Metinis CAPEX'!L25/'2. Investicijos'!H21*$C21,0)</f>
        <v>0</v>
      </c>
      <c r="M21" s="69">
        <f>IFERROR('4. Metinis CAPEX'!M25/'2. Investicijos'!H21*$C21,0)</f>
        <v>0</v>
      </c>
      <c r="N21" s="69">
        <f>IFERROR('4. Metinis CAPEX'!N25/'2. Investicijos'!H21*$C21,0)</f>
        <v>0</v>
      </c>
      <c r="O21" s="69">
        <f>IFERROR('4. Metinis CAPEX'!O25/'2. Investicijos'!H21*$C21,0)</f>
        <v>0</v>
      </c>
      <c r="P21" s="69" cm="1">
        <f t="array" ref="P21">IF($E21=0,0,SUMPRODUCT(($F$4:$O$4&lt;F$4)*($F$4:$O$4&gt;=F$4-$E21)*($F21:$O21/$E21)))</f>
        <v>0</v>
      </c>
      <c r="Q21" s="69" cm="1">
        <f t="array" ref="Q21">IF($E21=0,0,SUMPRODUCT(($F$4:$O$4&lt;G$4)*($F$4:$O$4&gt;=G$4-$E21)*($F21:$O21/$E21)))</f>
        <v>0</v>
      </c>
      <c r="R21" s="69" cm="1">
        <f t="array" ref="R21">IF($E21=0,0,SUMPRODUCT(($F$4:$O$4&lt;H$4)*($F$4:$O$4&gt;=H$4-$E21)*($F21:$O21/$E21)))</f>
        <v>0</v>
      </c>
      <c r="S21" s="69" cm="1">
        <f t="array" ref="S21">IF($E21=0,0,SUMPRODUCT(($F$4:$O$4&lt;I$4)*($F$4:$O$4&gt;=I$4-$E21)*($F21:$O21/$E21)))</f>
        <v>0</v>
      </c>
      <c r="T21" s="69" cm="1">
        <f t="array" ref="T21">IF($E21=0,0,SUMPRODUCT(($F$4:$O$4&lt;J$4)*($F$4:$O$4&gt;=J$4-$E21)*($F21:$O21/$E21)))</f>
        <v>0</v>
      </c>
      <c r="U21" s="69" cm="1">
        <f t="array" ref="U21">IF($E21=0,0,SUMPRODUCT(($F$4:$O$4&lt;K$4)*($F$4:$O$4&gt;=K$4-$E21)*($F21:$O21/$E21)))</f>
        <v>0</v>
      </c>
      <c r="V21" s="69" cm="1">
        <f t="array" ref="V21">IF($E21=0,0,SUMPRODUCT(($F$4:$O$4&lt;L$4)*($F$4:$O$4&gt;=L$4-$E21)*($F21:$O21/$E21)))</f>
        <v>0</v>
      </c>
      <c r="W21" s="69" cm="1">
        <f t="array" ref="W21">IF($E21=0,0,SUMPRODUCT(($F$4:$O$4&lt;M$4)*($F$4:$O$4&gt;=M$4-$E21)*($F21:$O21/$E21)))</f>
        <v>0</v>
      </c>
      <c r="X21" s="69" cm="1">
        <f t="array" ref="X21">IF($E21=0,0,SUMPRODUCT(($F$4:$O$4&lt;N$4)*($F$4:$O$4&gt;=N$4-$E21)*($F21:$O21/$E21)))</f>
        <v>0</v>
      </c>
      <c r="Y21" s="69" cm="1">
        <f t="array" ref="Y21">IF($E21=0,0,SUMPRODUCT(($F$4:$O$4&lt;O$4)*($F$4:$O$4&gt;=O$4-$E21)*($F21:$O21/$E21)))</f>
        <v>0</v>
      </c>
      <c r="Z21" s="69">
        <f>0</f>
        <v>0</v>
      </c>
      <c r="AA21" s="69">
        <f t="shared" si="2"/>
        <v>0</v>
      </c>
      <c r="AB21" s="69">
        <f t="shared" si="3"/>
        <v>0</v>
      </c>
      <c r="AC21" s="69">
        <f t="shared" si="4"/>
        <v>0</v>
      </c>
      <c r="AD21" s="69">
        <f t="shared" si="5"/>
        <v>0</v>
      </c>
      <c r="AE21" s="69">
        <f t="shared" si="6"/>
        <v>0</v>
      </c>
      <c r="AF21" s="69">
        <f t="shared" si="7"/>
        <v>0</v>
      </c>
      <c r="AG21" s="69">
        <f t="shared" si="8"/>
        <v>0</v>
      </c>
      <c r="AH21" s="69">
        <f t="shared" si="9"/>
        <v>0</v>
      </c>
      <c r="AI21" s="69">
        <f t="shared" si="10"/>
        <v>0</v>
      </c>
      <c r="AJ21" s="69">
        <f t="shared" si="11"/>
        <v>0</v>
      </c>
      <c r="AK21" s="69">
        <f t="shared" ref="AK21:AS21" si="27">AJ21+G21-Q21</f>
        <v>0</v>
      </c>
      <c r="AL21" s="69">
        <f t="shared" si="27"/>
        <v>0</v>
      </c>
      <c r="AM21" s="69">
        <f t="shared" si="27"/>
        <v>0</v>
      </c>
      <c r="AN21" s="69">
        <f t="shared" si="27"/>
        <v>0</v>
      </c>
      <c r="AO21" s="69">
        <f t="shared" si="27"/>
        <v>0</v>
      </c>
      <c r="AP21" s="69">
        <f t="shared" si="27"/>
        <v>0</v>
      </c>
      <c r="AQ21" s="69">
        <f t="shared" si="27"/>
        <v>0</v>
      </c>
      <c r="AR21" s="69">
        <f t="shared" si="27"/>
        <v>0</v>
      </c>
      <c r="AS21" s="69">
        <f t="shared" si="27"/>
        <v>0</v>
      </c>
    </row>
    <row r="22" spans="1:45">
      <c r="A22" s="57" t="str">
        <f>'2. Investicijos'!A22</f>
        <v>18.</v>
      </c>
      <c r="B22" s="57">
        <f>'2. Investicijos'!B22</f>
        <v>0</v>
      </c>
      <c r="C22" s="69">
        <f>MAX(0,'2. Investicijos'!N22-'2. Investicijos'!H22*'7. Pasirinktinis scenarijus'!$C$6)</f>
        <v>0</v>
      </c>
      <c r="D22" s="70">
        <f>IF('2. Investicijos'!O22="",0,'2. Investicijos'!O22/100)</f>
        <v>0</v>
      </c>
      <c r="E22" s="71">
        <f>IF('2. Investicijos'!P22="",0,'2. Investicijos'!P22)</f>
        <v>0</v>
      </c>
      <c r="F22" s="69">
        <f>IFERROR('4. Metinis CAPEX'!F26/'2. Investicijos'!H22*$C22,0)</f>
        <v>0</v>
      </c>
      <c r="G22" s="69">
        <f>IFERROR('4. Metinis CAPEX'!G26/'2. Investicijos'!H22*$C22,0)</f>
        <v>0</v>
      </c>
      <c r="H22" s="69">
        <f>IFERROR('4. Metinis CAPEX'!H26/'2. Investicijos'!H22*$C22,0)</f>
        <v>0</v>
      </c>
      <c r="I22" s="69">
        <f>IFERROR('4. Metinis CAPEX'!I26/'2. Investicijos'!H22*$C22,0)</f>
        <v>0</v>
      </c>
      <c r="J22" s="69">
        <f>IFERROR('4. Metinis CAPEX'!J26/'2. Investicijos'!H22*$C22,0)</f>
        <v>0</v>
      </c>
      <c r="K22" s="69">
        <f>IFERROR('4. Metinis CAPEX'!K26/'2. Investicijos'!H22*$C22,0)</f>
        <v>0</v>
      </c>
      <c r="L22" s="69">
        <f>IFERROR('4. Metinis CAPEX'!L26/'2. Investicijos'!H22*$C22,0)</f>
        <v>0</v>
      </c>
      <c r="M22" s="69">
        <f>IFERROR('4. Metinis CAPEX'!M26/'2. Investicijos'!H22*$C22,0)</f>
        <v>0</v>
      </c>
      <c r="N22" s="69">
        <f>IFERROR('4. Metinis CAPEX'!N26/'2. Investicijos'!H22*$C22,0)</f>
        <v>0</v>
      </c>
      <c r="O22" s="69">
        <f>IFERROR('4. Metinis CAPEX'!O26/'2. Investicijos'!H22*$C22,0)</f>
        <v>0</v>
      </c>
      <c r="P22" s="69" cm="1">
        <f t="array" ref="P22">IF($E22=0,0,SUMPRODUCT(($F$4:$O$4&lt;F$4)*($F$4:$O$4&gt;=F$4-$E22)*($F22:$O22/$E22)))</f>
        <v>0</v>
      </c>
      <c r="Q22" s="69" cm="1">
        <f t="array" ref="Q22">IF($E22=0,0,SUMPRODUCT(($F$4:$O$4&lt;G$4)*($F$4:$O$4&gt;=G$4-$E22)*($F22:$O22/$E22)))</f>
        <v>0</v>
      </c>
      <c r="R22" s="69" cm="1">
        <f t="array" ref="R22">IF($E22=0,0,SUMPRODUCT(($F$4:$O$4&lt;H$4)*($F$4:$O$4&gt;=H$4-$E22)*($F22:$O22/$E22)))</f>
        <v>0</v>
      </c>
      <c r="S22" s="69" cm="1">
        <f t="array" ref="S22">IF($E22=0,0,SUMPRODUCT(($F$4:$O$4&lt;I$4)*($F$4:$O$4&gt;=I$4-$E22)*($F22:$O22/$E22)))</f>
        <v>0</v>
      </c>
      <c r="T22" s="69" cm="1">
        <f t="array" ref="T22">IF($E22=0,0,SUMPRODUCT(($F$4:$O$4&lt;J$4)*($F$4:$O$4&gt;=J$4-$E22)*($F22:$O22/$E22)))</f>
        <v>0</v>
      </c>
      <c r="U22" s="69" cm="1">
        <f t="array" ref="U22">IF($E22=0,0,SUMPRODUCT(($F$4:$O$4&lt;K$4)*($F$4:$O$4&gt;=K$4-$E22)*($F22:$O22/$E22)))</f>
        <v>0</v>
      </c>
      <c r="V22" s="69" cm="1">
        <f t="array" ref="V22">IF($E22=0,0,SUMPRODUCT(($F$4:$O$4&lt;L$4)*($F$4:$O$4&gt;=L$4-$E22)*($F22:$O22/$E22)))</f>
        <v>0</v>
      </c>
      <c r="W22" s="69" cm="1">
        <f t="array" ref="W22">IF($E22=0,0,SUMPRODUCT(($F$4:$O$4&lt;M$4)*($F$4:$O$4&gt;=M$4-$E22)*($F22:$O22/$E22)))</f>
        <v>0</v>
      </c>
      <c r="X22" s="69" cm="1">
        <f t="array" ref="X22">IF($E22=0,0,SUMPRODUCT(($F$4:$O$4&lt;N$4)*($F$4:$O$4&gt;=N$4-$E22)*($F22:$O22/$E22)))</f>
        <v>0</v>
      </c>
      <c r="Y22" s="69" cm="1">
        <f t="array" ref="Y22">IF($E22=0,0,SUMPRODUCT(($F$4:$O$4&lt;O$4)*($F$4:$O$4&gt;=O$4-$E22)*($F22:$O22/$E22)))</f>
        <v>0</v>
      </c>
      <c r="Z22" s="69">
        <f>0</f>
        <v>0</v>
      </c>
      <c r="AA22" s="69">
        <f t="shared" si="2"/>
        <v>0</v>
      </c>
      <c r="AB22" s="69">
        <f t="shared" si="3"/>
        <v>0</v>
      </c>
      <c r="AC22" s="69">
        <f t="shared" si="4"/>
        <v>0</v>
      </c>
      <c r="AD22" s="69">
        <f t="shared" si="5"/>
        <v>0</v>
      </c>
      <c r="AE22" s="69">
        <f t="shared" si="6"/>
        <v>0</v>
      </c>
      <c r="AF22" s="69">
        <f t="shared" si="7"/>
        <v>0</v>
      </c>
      <c r="AG22" s="69">
        <f t="shared" si="8"/>
        <v>0</v>
      </c>
      <c r="AH22" s="69">
        <f t="shared" si="9"/>
        <v>0</v>
      </c>
      <c r="AI22" s="69">
        <f t="shared" si="10"/>
        <v>0</v>
      </c>
      <c r="AJ22" s="69">
        <f t="shared" si="11"/>
        <v>0</v>
      </c>
      <c r="AK22" s="69">
        <f t="shared" ref="AK22:AS22" si="28">AJ22+G22-Q22</f>
        <v>0</v>
      </c>
      <c r="AL22" s="69">
        <f t="shared" si="28"/>
        <v>0</v>
      </c>
      <c r="AM22" s="69">
        <f t="shared" si="28"/>
        <v>0</v>
      </c>
      <c r="AN22" s="69">
        <f t="shared" si="28"/>
        <v>0</v>
      </c>
      <c r="AO22" s="69">
        <f t="shared" si="28"/>
        <v>0</v>
      </c>
      <c r="AP22" s="69">
        <f t="shared" si="28"/>
        <v>0</v>
      </c>
      <c r="AQ22" s="69">
        <f t="shared" si="28"/>
        <v>0</v>
      </c>
      <c r="AR22" s="69">
        <f t="shared" si="28"/>
        <v>0</v>
      </c>
      <c r="AS22" s="69">
        <f t="shared" si="28"/>
        <v>0</v>
      </c>
    </row>
    <row r="23" spans="1:45">
      <c r="A23" s="57" t="str">
        <f>'2. Investicijos'!A23</f>
        <v>19.</v>
      </c>
      <c r="B23" s="57">
        <f>'2. Investicijos'!B23</f>
        <v>0</v>
      </c>
      <c r="C23" s="69">
        <f>MAX(0,'2. Investicijos'!N23-'2. Investicijos'!H23*'7. Pasirinktinis scenarijus'!$C$6)</f>
        <v>0</v>
      </c>
      <c r="D23" s="70">
        <f>IF('2. Investicijos'!O23="",0,'2. Investicijos'!O23/100)</f>
        <v>0</v>
      </c>
      <c r="E23" s="71">
        <f>IF('2. Investicijos'!P23="",0,'2. Investicijos'!P23)</f>
        <v>0</v>
      </c>
      <c r="F23" s="69">
        <f>IFERROR('4. Metinis CAPEX'!F27/'2. Investicijos'!H23*$C23,0)</f>
        <v>0</v>
      </c>
      <c r="G23" s="69">
        <f>IFERROR('4. Metinis CAPEX'!G27/'2. Investicijos'!H23*$C23,0)</f>
        <v>0</v>
      </c>
      <c r="H23" s="69">
        <f>IFERROR('4. Metinis CAPEX'!H27/'2. Investicijos'!H23*$C23,0)</f>
        <v>0</v>
      </c>
      <c r="I23" s="69">
        <f>IFERROR('4. Metinis CAPEX'!I27/'2. Investicijos'!H23*$C23,0)</f>
        <v>0</v>
      </c>
      <c r="J23" s="69">
        <f>IFERROR('4. Metinis CAPEX'!J27/'2. Investicijos'!H23*$C23,0)</f>
        <v>0</v>
      </c>
      <c r="K23" s="69">
        <f>IFERROR('4. Metinis CAPEX'!K27/'2. Investicijos'!H23*$C23,0)</f>
        <v>0</v>
      </c>
      <c r="L23" s="69">
        <f>IFERROR('4. Metinis CAPEX'!L27/'2. Investicijos'!H23*$C23,0)</f>
        <v>0</v>
      </c>
      <c r="M23" s="69">
        <f>IFERROR('4. Metinis CAPEX'!M27/'2. Investicijos'!H23*$C23,0)</f>
        <v>0</v>
      </c>
      <c r="N23" s="69">
        <f>IFERROR('4. Metinis CAPEX'!N27/'2. Investicijos'!H23*$C23,0)</f>
        <v>0</v>
      </c>
      <c r="O23" s="69">
        <f>IFERROR('4. Metinis CAPEX'!O27/'2. Investicijos'!H23*$C23,0)</f>
        <v>0</v>
      </c>
      <c r="P23" s="69" cm="1">
        <f t="array" ref="P23">IF($E23=0,0,SUMPRODUCT(($F$4:$O$4&lt;F$4)*($F$4:$O$4&gt;=F$4-$E23)*($F23:$O23/$E23)))</f>
        <v>0</v>
      </c>
      <c r="Q23" s="69" cm="1">
        <f t="array" ref="Q23">IF($E23=0,0,SUMPRODUCT(($F$4:$O$4&lt;G$4)*($F$4:$O$4&gt;=G$4-$E23)*($F23:$O23/$E23)))</f>
        <v>0</v>
      </c>
      <c r="R23" s="69" cm="1">
        <f t="array" ref="R23">IF($E23=0,0,SUMPRODUCT(($F$4:$O$4&lt;H$4)*($F$4:$O$4&gt;=H$4-$E23)*($F23:$O23/$E23)))</f>
        <v>0</v>
      </c>
      <c r="S23" s="69" cm="1">
        <f t="array" ref="S23">IF($E23=0,0,SUMPRODUCT(($F$4:$O$4&lt;I$4)*($F$4:$O$4&gt;=I$4-$E23)*($F23:$O23/$E23)))</f>
        <v>0</v>
      </c>
      <c r="T23" s="69" cm="1">
        <f t="array" ref="T23">IF($E23=0,0,SUMPRODUCT(($F$4:$O$4&lt;J$4)*($F$4:$O$4&gt;=J$4-$E23)*($F23:$O23/$E23)))</f>
        <v>0</v>
      </c>
      <c r="U23" s="69" cm="1">
        <f t="array" ref="U23">IF($E23=0,0,SUMPRODUCT(($F$4:$O$4&lt;K$4)*($F$4:$O$4&gt;=K$4-$E23)*($F23:$O23/$E23)))</f>
        <v>0</v>
      </c>
      <c r="V23" s="69" cm="1">
        <f t="array" ref="V23">IF($E23=0,0,SUMPRODUCT(($F$4:$O$4&lt;L$4)*($F$4:$O$4&gt;=L$4-$E23)*($F23:$O23/$E23)))</f>
        <v>0</v>
      </c>
      <c r="W23" s="69" cm="1">
        <f t="array" ref="W23">IF($E23=0,0,SUMPRODUCT(($F$4:$O$4&lt;M$4)*($F$4:$O$4&gt;=M$4-$E23)*($F23:$O23/$E23)))</f>
        <v>0</v>
      </c>
      <c r="X23" s="69" cm="1">
        <f t="array" ref="X23">IF($E23=0,0,SUMPRODUCT(($F$4:$O$4&lt;N$4)*($F$4:$O$4&gt;=N$4-$E23)*($F23:$O23/$E23)))</f>
        <v>0</v>
      </c>
      <c r="Y23" s="69" cm="1">
        <f t="array" ref="Y23">IF($E23=0,0,SUMPRODUCT(($F$4:$O$4&lt;O$4)*($F$4:$O$4&gt;=O$4-$E23)*($F23:$O23/$E23)))</f>
        <v>0</v>
      </c>
      <c r="Z23" s="69">
        <f>0</f>
        <v>0</v>
      </c>
      <c r="AA23" s="69">
        <f t="shared" si="2"/>
        <v>0</v>
      </c>
      <c r="AB23" s="69">
        <f t="shared" si="3"/>
        <v>0</v>
      </c>
      <c r="AC23" s="69">
        <f t="shared" si="4"/>
        <v>0</v>
      </c>
      <c r="AD23" s="69">
        <f t="shared" si="5"/>
        <v>0</v>
      </c>
      <c r="AE23" s="69">
        <f t="shared" si="6"/>
        <v>0</v>
      </c>
      <c r="AF23" s="69">
        <f t="shared" si="7"/>
        <v>0</v>
      </c>
      <c r="AG23" s="69">
        <f t="shared" si="8"/>
        <v>0</v>
      </c>
      <c r="AH23" s="69">
        <f t="shared" si="9"/>
        <v>0</v>
      </c>
      <c r="AI23" s="69">
        <f t="shared" si="10"/>
        <v>0</v>
      </c>
      <c r="AJ23" s="69">
        <f t="shared" si="11"/>
        <v>0</v>
      </c>
      <c r="AK23" s="69">
        <f t="shared" ref="AK23:AS23" si="29">AJ23+G23-Q23</f>
        <v>0</v>
      </c>
      <c r="AL23" s="69">
        <f t="shared" si="29"/>
        <v>0</v>
      </c>
      <c r="AM23" s="69">
        <f t="shared" si="29"/>
        <v>0</v>
      </c>
      <c r="AN23" s="69">
        <f t="shared" si="29"/>
        <v>0</v>
      </c>
      <c r="AO23" s="69">
        <f t="shared" si="29"/>
        <v>0</v>
      </c>
      <c r="AP23" s="69">
        <f t="shared" si="29"/>
        <v>0</v>
      </c>
      <c r="AQ23" s="69">
        <f t="shared" si="29"/>
        <v>0</v>
      </c>
      <c r="AR23" s="69">
        <f t="shared" si="29"/>
        <v>0</v>
      </c>
      <c r="AS23" s="69">
        <f t="shared" si="29"/>
        <v>0</v>
      </c>
    </row>
    <row r="24" spans="1:45">
      <c r="A24" s="57" t="str">
        <f>'2. Investicijos'!A24</f>
        <v>20.</v>
      </c>
      <c r="B24" s="57">
        <f>'2. Investicijos'!B24</f>
        <v>0</v>
      </c>
      <c r="C24" s="69">
        <f>MAX(0,'2. Investicijos'!N24-'2. Investicijos'!H24*'7. Pasirinktinis scenarijus'!$C$6)</f>
        <v>0</v>
      </c>
      <c r="D24" s="70">
        <f>IF('2. Investicijos'!O24="",0,'2. Investicijos'!O24/100)</f>
        <v>0</v>
      </c>
      <c r="E24" s="71">
        <f>IF('2. Investicijos'!P24="",0,'2. Investicijos'!P24)</f>
        <v>0</v>
      </c>
      <c r="F24" s="69">
        <f>IFERROR('4. Metinis CAPEX'!F28/'2. Investicijos'!H24*$C24,0)</f>
        <v>0</v>
      </c>
      <c r="G24" s="69">
        <f>IFERROR('4. Metinis CAPEX'!G28/'2. Investicijos'!H24*$C24,0)</f>
        <v>0</v>
      </c>
      <c r="H24" s="69">
        <f>IFERROR('4. Metinis CAPEX'!H28/'2. Investicijos'!H24*$C24,0)</f>
        <v>0</v>
      </c>
      <c r="I24" s="69">
        <f>IFERROR('4. Metinis CAPEX'!I28/'2. Investicijos'!H24*$C24,0)</f>
        <v>0</v>
      </c>
      <c r="J24" s="69">
        <f>IFERROR('4. Metinis CAPEX'!J28/'2. Investicijos'!H24*$C24,0)</f>
        <v>0</v>
      </c>
      <c r="K24" s="69">
        <f>IFERROR('4. Metinis CAPEX'!K28/'2. Investicijos'!H24*$C24,0)</f>
        <v>0</v>
      </c>
      <c r="L24" s="69">
        <f>IFERROR('4. Metinis CAPEX'!L28/'2. Investicijos'!H24*$C24,0)</f>
        <v>0</v>
      </c>
      <c r="M24" s="69">
        <f>IFERROR('4. Metinis CAPEX'!M28/'2. Investicijos'!H24*$C24,0)</f>
        <v>0</v>
      </c>
      <c r="N24" s="69">
        <f>IFERROR('4. Metinis CAPEX'!N28/'2. Investicijos'!H24*$C24,0)</f>
        <v>0</v>
      </c>
      <c r="O24" s="69">
        <f>IFERROR('4. Metinis CAPEX'!O28/'2. Investicijos'!H24*$C24,0)</f>
        <v>0</v>
      </c>
      <c r="P24" s="69" cm="1">
        <f t="array" ref="P24">IF($E24=0,0,SUMPRODUCT(($F$4:$O$4&lt;F$4)*($F$4:$O$4&gt;=F$4-$E24)*($F24:$O24/$E24)))</f>
        <v>0</v>
      </c>
      <c r="Q24" s="69" cm="1">
        <f t="array" ref="Q24">IF($E24=0,0,SUMPRODUCT(($F$4:$O$4&lt;G$4)*($F$4:$O$4&gt;=G$4-$E24)*($F24:$O24/$E24)))</f>
        <v>0</v>
      </c>
      <c r="R24" s="69" cm="1">
        <f t="array" ref="R24">IF($E24=0,0,SUMPRODUCT(($F$4:$O$4&lt;H$4)*($F$4:$O$4&gt;=H$4-$E24)*($F24:$O24/$E24)))</f>
        <v>0</v>
      </c>
      <c r="S24" s="69" cm="1">
        <f t="array" ref="S24">IF($E24=0,0,SUMPRODUCT(($F$4:$O$4&lt;I$4)*($F$4:$O$4&gt;=I$4-$E24)*($F24:$O24/$E24)))</f>
        <v>0</v>
      </c>
      <c r="T24" s="69" cm="1">
        <f t="array" ref="T24">IF($E24=0,0,SUMPRODUCT(($F$4:$O$4&lt;J$4)*($F$4:$O$4&gt;=J$4-$E24)*($F24:$O24/$E24)))</f>
        <v>0</v>
      </c>
      <c r="U24" s="69" cm="1">
        <f t="array" ref="U24">IF($E24=0,0,SUMPRODUCT(($F$4:$O$4&lt;K$4)*($F$4:$O$4&gt;=K$4-$E24)*($F24:$O24/$E24)))</f>
        <v>0</v>
      </c>
      <c r="V24" s="69" cm="1">
        <f t="array" ref="V24">IF($E24=0,0,SUMPRODUCT(($F$4:$O$4&lt;L$4)*($F$4:$O$4&gt;=L$4-$E24)*($F24:$O24/$E24)))</f>
        <v>0</v>
      </c>
      <c r="W24" s="69" cm="1">
        <f t="array" ref="W24">IF($E24=0,0,SUMPRODUCT(($F$4:$O$4&lt;M$4)*($F$4:$O$4&gt;=M$4-$E24)*($F24:$O24/$E24)))</f>
        <v>0</v>
      </c>
      <c r="X24" s="69" cm="1">
        <f t="array" ref="X24">IF($E24=0,0,SUMPRODUCT(($F$4:$O$4&lt;N$4)*($F$4:$O$4&gt;=N$4-$E24)*($F24:$O24/$E24)))</f>
        <v>0</v>
      </c>
      <c r="Y24" s="69" cm="1">
        <f t="array" ref="Y24">IF($E24=0,0,SUMPRODUCT(($F$4:$O$4&lt;O$4)*($F$4:$O$4&gt;=O$4-$E24)*($F24:$O24/$E24)))</f>
        <v>0</v>
      </c>
      <c r="Z24" s="69">
        <f>0</f>
        <v>0</v>
      </c>
      <c r="AA24" s="69">
        <f t="shared" si="2"/>
        <v>0</v>
      </c>
      <c r="AB24" s="69">
        <f t="shared" si="3"/>
        <v>0</v>
      </c>
      <c r="AC24" s="69">
        <f t="shared" si="4"/>
        <v>0</v>
      </c>
      <c r="AD24" s="69">
        <f t="shared" si="5"/>
        <v>0</v>
      </c>
      <c r="AE24" s="69">
        <f t="shared" si="6"/>
        <v>0</v>
      </c>
      <c r="AF24" s="69">
        <f t="shared" si="7"/>
        <v>0</v>
      </c>
      <c r="AG24" s="69">
        <f t="shared" si="8"/>
        <v>0</v>
      </c>
      <c r="AH24" s="69">
        <f t="shared" si="9"/>
        <v>0</v>
      </c>
      <c r="AI24" s="69">
        <f t="shared" si="10"/>
        <v>0</v>
      </c>
      <c r="AJ24" s="69">
        <f t="shared" si="11"/>
        <v>0</v>
      </c>
      <c r="AK24" s="69">
        <f t="shared" ref="AK24:AS24" si="30">AJ24+G24-Q24</f>
        <v>0</v>
      </c>
      <c r="AL24" s="69">
        <f t="shared" si="30"/>
        <v>0</v>
      </c>
      <c r="AM24" s="69">
        <f t="shared" si="30"/>
        <v>0</v>
      </c>
      <c r="AN24" s="69">
        <f t="shared" si="30"/>
        <v>0</v>
      </c>
      <c r="AO24" s="69">
        <f t="shared" si="30"/>
        <v>0</v>
      </c>
      <c r="AP24" s="69">
        <f t="shared" si="30"/>
        <v>0</v>
      </c>
      <c r="AQ24" s="69">
        <f t="shared" si="30"/>
        <v>0</v>
      </c>
      <c r="AR24" s="69">
        <f t="shared" si="30"/>
        <v>0</v>
      </c>
      <c r="AS24" s="69">
        <f t="shared" si="30"/>
        <v>0</v>
      </c>
    </row>
    <row r="25" spans="1:45">
      <c r="A25" s="140" t="s">
        <v>125</v>
      </c>
      <c r="B25" s="140"/>
      <c r="C25" s="73">
        <f>SUM(C5:C24)</f>
        <v>0</v>
      </c>
      <c r="D25" s="63"/>
      <c r="E25" s="63"/>
      <c r="F25" s="73">
        <f t="shared" ref="F25:AS25" si="31">SUM(F5:F24)</f>
        <v>0</v>
      </c>
      <c r="G25" s="73">
        <f t="shared" si="31"/>
        <v>0</v>
      </c>
      <c r="H25" s="73">
        <f t="shared" si="31"/>
        <v>0</v>
      </c>
      <c r="I25" s="73">
        <f t="shared" si="31"/>
        <v>0</v>
      </c>
      <c r="J25" s="73">
        <f t="shared" si="31"/>
        <v>0</v>
      </c>
      <c r="K25" s="73">
        <f t="shared" si="31"/>
        <v>0</v>
      </c>
      <c r="L25" s="73">
        <f t="shared" si="31"/>
        <v>0</v>
      </c>
      <c r="M25" s="73">
        <f t="shared" si="31"/>
        <v>0</v>
      </c>
      <c r="N25" s="73">
        <f t="shared" si="31"/>
        <v>0</v>
      </c>
      <c r="O25" s="73">
        <f t="shared" si="31"/>
        <v>0</v>
      </c>
      <c r="P25" s="73">
        <f t="shared" si="31"/>
        <v>0</v>
      </c>
      <c r="Q25" s="73">
        <f t="shared" si="31"/>
        <v>0</v>
      </c>
      <c r="R25" s="73">
        <f t="shared" si="31"/>
        <v>0</v>
      </c>
      <c r="S25" s="73">
        <f t="shared" si="31"/>
        <v>0</v>
      </c>
      <c r="T25" s="73">
        <f t="shared" si="31"/>
        <v>0</v>
      </c>
      <c r="U25" s="73">
        <f t="shared" si="31"/>
        <v>0</v>
      </c>
      <c r="V25" s="73">
        <f t="shared" si="31"/>
        <v>0</v>
      </c>
      <c r="W25" s="73">
        <f t="shared" si="31"/>
        <v>0</v>
      </c>
      <c r="X25" s="73">
        <f t="shared" si="31"/>
        <v>0</v>
      </c>
      <c r="Y25" s="73">
        <f t="shared" si="31"/>
        <v>0</v>
      </c>
      <c r="Z25" s="73">
        <f t="shared" si="31"/>
        <v>0</v>
      </c>
      <c r="AA25" s="73">
        <f t="shared" si="31"/>
        <v>0</v>
      </c>
      <c r="AB25" s="73">
        <f t="shared" si="31"/>
        <v>0</v>
      </c>
      <c r="AC25" s="73">
        <f t="shared" si="31"/>
        <v>0</v>
      </c>
      <c r="AD25" s="73">
        <f t="shared" si="31"/>
        <v>0</v>
      </c>
      <c r="AE25" s="73">
        <f t="shared" si="31"/>
        <v>0</v>
      </c>
      <c r="AF25" s="73">
        <f t="shared" si="31"/>
        <v>0</v>
      </c>
      <c r="AG25" s="73">
        <f t="shared" si="31"/>
        <v>0</v>
      </c>
      <c r="AH25" s="73">
        <f t="shared" si="31"/>
        <v>0</v>
      </c>
      <c r="AI25" s="73">
        <f t="shared" si="31"/>
        <v>0</v>
      </c>
      <c r="AJ25" s="73">
        <f t="shared" si="31"/>
        <v>0</v>
      </c>
      <c r="AK25" s="73">
        <f t="shared" si="31"/>
        <v>0</v>
      </c>
      <c r="AL25" s="73">
        <f t="shared" si="31"/>
        <v>0</v>
      </c>
      <c r="AM25" s="73">
        <f t="shared" si="31"/>
        <v>0</v>
      </c>
      <c r="AN25" s="73">
        <f t="shared" si="31"/>
        <v>0</v>
      </c>
      <c r="AO25" s="73">
        <f t="shared" si="31"/>
        <v>0</v>
      </c>
      <c r="AP25" s="73">
        <f t="shared" si="31"/>
        <v>0</v>
      </c>
      <c r="AQ25" s="73">
        <f t="shared" si="31"/>
        <v>0</v>
      </c>
      <c r="AR25" s="73">
        <f t="shared" si="31"/>
        <v>0</v>
      </c>
      <c r="AS25" s="73">
        <f t="shared" si="31"/>
        <v>0</v>
      </c>
    </row>
    <row r="26" spans="1:45">
      <c r="A26" s="57"/>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row>
    <row r="27" spans="1:45">
      <c r="A27" s="57"/>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row>
    <row r="28" spans="1:45" ht="14.5">
      <c r="A28" s="122" t="s">
        <v>79</v>
      </c>
      <c r="B28" s="122"/>
      <c r="C28" s="122"/>
      <c r="D28" s="122"/>
      <c r="E28" s="122"/>
      <c r="F28" s="122"/>
      <c r="G28" s="122"/>
      <c r="H28" s="122"/>
      <c r="I28" s="122"/>
      <c r="J28" s="122"/>
      <c r="K28" s="122"/>
      <c r="L28" s="122"/>
      <c r="M28" s="122"/>
      <c r="N28" s="122"/>
      <c r="O28" s="122"/>
      <c r="P28" s="122"/>
      <c r="Q28" s="122"/>
      <c r="R28" s="122"/>
      <c r="S28" s="122"/>
      <c r="T28" s="122"/>
      <c r="U28" s="122"/>
      <c r="V28" s="122"/>
      <c r="W28" s="122"/>
      <c r="X28" s="122"/>
      <c r="Y28" s="122"/>
      <c r="Z28" s="57"/>
      <c r="AA28" s="57"/>
      <c r="AB28" s="57"/>
      <c r="AC28" s="57"/>
      <c r="AD28" s="57"/>
      <c r="AE28" s="57"/>
      <c r="AF28" s="57"/>
      <c r="AG28" s="57"/>
      <c r="AH28" s="57"/>
      <c r="AI28" s="57"/>
      <c r="AJ28" s="57"/>
      <c r="AK28" s="57"/>
      <c r="AL28" s="57"/>
      <c r="AM28" s="57"/>
      <c r="AN28" s="57"/>
      <c r="AO28" s="57"/>
      <c r="AP28" s="57"/>
      <c r="AQ28" s="57"/>
      <c r="AR28" s="57"/>
      <c r="AS28" s="57"/>
    </row>
    <row r="29" spans="1:45" ht="60">
      <c r="A29" s="64" t="s">
        <v>57</v>
      </c>
      <c r="B29" s="64" t="s">
        <v>82</v>
      </c>
      <c r="C29" s="64" t="s">
        <v>58</v>
      </c>
      <c r="D29" s="64" t="s">
        <v>83</v>
      </c>
      <c r="E29" s="64" t="s">
        <v>84</v>
      </c>
      <c r="F29" s="64" t="s">
        <v>85</v>
      </c>
      <c r="G29" s="64" t="s">
        <v>86</v>
      </c>
      <c r="H29" s="64" t="s">
        <v>87</v>
      </c>
      <c r="I29" s="64" t="s">
        <v>88</v>
      </c>
      <c r="J29" s="64" t="s">
        <v>89</v>
      </c>
      <c r="K29" s="64" t="s">
        <v>60</v>
      </c>
      <c r="L29" s="64" t="s">
        <v>90</v>
      </c>
      <c r="M29" s="64" t="s">
        <v>91</v>
      </c>
      <c r="N29" s="64" t="s">
        <v>159</v>
      </c>
      <c r="O29" s="64" t="s">
        <v>92</v>
      </c>
      <c r="P29" s="64" t="s">
        <v>93</v>
      </c>
      <c r="Q29" s="64" t="s">
        <v>94</v>
      </c>
      <c r="R29" s="64" t="s">
        <v>160</v>
      </c>
      <c r="S29" s="64" t="s">
        <v>155</v>
      </c>
      <c r="T29" s="64" t="s">
        <v>62</v>
      </c>
      <c r="U29" s="64" t="s">
        <v>95</v>
      </c>
      <c r="V29" s="64" t="s">
        <v>23</v>
      </c>
      <c r="W29" s="64" t="s">
        <v>24</v>
      </c>
      <c r="X29" s="64" t="s">
        <v>25</v>
      </c>
      <c r="Y29" s="64" t="s">
        <v>49</v>
      </c>
      <c r="Z29" s="57"/>
      <c r="AA29" s="57"/>
      <c r="AB29" s="57"/>
      <c r="AC29" s="57"/>
      <c r="AD29" s="57"/>
      <c r="AE29" s="57"/>
      <c r="AF29" s="57"/>
      <c r="AG29" s="57"/>
      <c r="AH29" s="57"/>
      <c r="AI29" s="57"/>
      <c r="AJ29" s="57"/>
      <c r="AK29" s="57"/>
      <c r="AL29" s="57"/>
      <c r="AM29" s="57"/>
      <c r="AN29" s="57"/>
      <c r="AO29" s="57"/>
      <c r="AP29" s="57"/>
      <c r="AQ29" s="57"/>
      <c r="AR29" s="57"/>
      <c r="AS29" s="57"/>
    </row>
    <row r="30" spans="1:45">
      <c r="A30" s="57">
        <v>0</v>
      </c>
      <c r="B30" s="57">
        <v>2026</v>
      </c>
      <c r="C30" s="62">
        <f>0</f>
        <v>0</v>
      </c>
      <c r="D30" s="62">
        <f>0</f>
        <v>0</v>
      </c>
      <c r="E30" s="62">
        <f>0</f>
        <v>0</v>
      </c>
      <c r="F30" s="62">
        <f>0</f>
        <v>0</v>
      </c>
      <c r="G30" s="62">
        <f>IF(AND(2026&gt;=2026,2026&lt;2026+'7. Pasirinktinis scenarijus'!$C$5),0/'7. Pasirinktinis scenarijus'!$C$5,0)</f>
        <v>0</v>
      </c>
      <c r="H30" s="62">
        <f t="shared" ref="H30:H39" si="32">D30-I30</f>
        <v>0</v>
      </c>
      <c r="I30" s="62">
        <f>0</f>
        <v>0</v>
      </c>
      <c r="J30" s="62">
        <f>0+0+0</f>
        <v>0</v>
      </c>
      <c r="K30" s="62">
        <f>0</f>
        <v>0</v>
      </c>
      <c r="L30" s="62">
        <f>0</f>
        <v>0</v>
      </c>
      <c r="M30" s="62">
        <f>0</f>
        <v>0</v>
      </c>
      <c r="N30" s="62">
        <f>'3. Finansinės prielaidos'!C30+M30</f>
        <v>0</v>
      </c>
      <c r="O30" s="62">
        <f>'3. Finansinės prielaidos'!C31</f>
        <v>0</v>
      </c>
      <c r="P30" s="62">
        <f>'3. Finansinės prielaidos'!C32</f>
        <v>0</v>
      </c>
      <c r="Q30" s="62">
        <f t="shared" ref="Q30:Q39" si="33">S30+G30+I30+E30-C30-J30</f>
        <v>0</v>
      </c>
      <c r="R30" s="62">
        <f>'3. Finansinės prielaidos'!C31+Q30</f>
        <v>0</v>
      </c>
      <c r="S30" s="62">
        <f>0</f>
        <v>0</v>
      </c>
      <c r="T30" s="62">
        <f>'3. Finansinės prielaidos'!C29+S30+G30</f>
        <v>0</v>
      </c>
      <c r="U30" s="62">
        <f t="shared" ref="U30:U39" si="34">N30-R30</f>
        <v>0</v>
      </c>
      <c r="V30" s="72" t="str">
        <f t="shared" ref="V30:V39" si="35">IF(OR(T30="",T30&lt;=0),"",U30/T30)</f>
        <v/>
      </c>
      <c r="W30" s="72" t="str">
        <f t="shared" ref="W30:W39" si="36">IF(T30&lt;=0,"",IF(P30+J30=0,999999,T30/(P30+J30)))</f>
        <v/>
      </c>
      <c r="X30" s="57" t="str">
        <f t="shared" ref="X30:X39" si="37">IF(OR(V30="",W30=""),"",IF(AND(V30&lt;=5.5,W30&gt;=1.2),"ATITINKA","NEATITINKA"))</f>
        <v/>
      </c>
      <c r="Y30" s="57" t="str">
        <f t="shared" ref="Y30:Y39" si="38">IF(X30&lt;&gt;"NEATITINKA","",IF(T30&lt;=0,"EBITDA ≤ 0",IF(AND(V30&gt;5.5,W30&lt;1.2),"Abu",IF(V30&gt;5.5,"Net Debt / EBITDA","DSCR"))))</f>
        <v/>
      </c>
      <c r="Z30" s="57"/>
      <c r="AA30" s="57"/>
      <c r="AB30" s="57"/>
      <c r="AC30" s="57"/>
      <c r="AD30" s="57"/>
      <c r="AE30" s="57"/>
      <c r="AF30" s="57"/>
      <c r="AG30" s="57"/>
      <c r="AH30" s="57"/>
      <c r="AI30" s="57"/>
      <c r="AJ30" s="57"/>
      <c r="AK30" s="57"/>
      <c r="AL30" s="57"/>
      <c r="AM30" s="57"/>
      <c r="AN30" s="57"/>
      <c r="AO30" s="57"/>
      <c r="AP30" s="57"/>
      <c r="AQ30" s="57"/>
      <c r="AR30" s="57"/>
      <c r="AS30" s="57"/>
    </row>
    <row r="31" spans="1:45">
      <c r="A31" s="57">
        <v>0</v>
      </c>
      <c r="B31" s="57">
        <v>2027</v>
      </c>
      <c r="C31" s="62">
        <f>0</f>
        <v>0</v>
      </c>
      <c r="D31" s="62">
        <f>0</f>
        <v>0</v>
      </c>
      <c r="E31" s="62">
        <f>0</f>
        <v>0</v>
      </c>
      <c r="F31" s="62">
        <f>0</f>
        <v>0</v>
      </c>
      <c r="G31" s="62">
        <f>IF(AND(2027&gt;=2026,2027&lt;2026+'7. Pasirinktinis scenarijus'!$C$5),0/'7. Pasirinktinis scenarijus'!$C$5,0)</f>
        <v>0</v>
      </c>
      <c r="H31" s="62">
        <f t="shared" si="32"/>
        <v>0</v>
      </c>
      <c r="I31" s="62">
        <f>0</f>
        <v>0</v>
      </c>
      <c r="J31" s="62">
        <f t="shared" ref="J31:J39" si="39">0+0+MAX(0,-R30)*0</f>
        <v>0</v>
      </c>
      <c r="K31" s="62">
        <f>0</f>
        <v>0</v>
      </c>
      <c r="L31" s="62">
        <f>0</f>
        <v>0</v>
      </c>
      <c r="M31" s="62">
        <f>0</f>
        <v>0</v>
      </c>
      <c r="N31" s="62">
        <f>'3. Finansinės prielaidos'!D30+M31</f>
        <v>0</v>
      </c>
      <c r="O31" s="62">
        <f>'3. Finansinės prielaidos'!D31</f>
        <v>0</v>
      </c>
      <c r="P31" s="62">
        <f>'3. Finansinės prielaidos'!D32</f>
        <v>0</v>
      </c>
      <c r="Q31" s="62">
        <f t="shared" si="33"/>
        <v>0</v>
      </c>
      <c r="R31" s="62">
        <f>R30+('3. Finansinės prielaidos'!D31-'3. Finansinės prielaidos'!C31)+Q31</f>
        <v>0</v>
      </c>
      <c r="S31" s="62">
        <f>0</f>
        <v>0</v>
      </c>
      <c r="T31" s="62">
        <f>'3. Finansinės prielaidos'!D29+S31+G31</f>
        <v>0</v>
      </c>
      <c r="U31" s="62">
        <f t="shared" si="34"/>
        <v>0</v>
      </c>
      <c r="V31" s="72" t="str">
        <f t="shared" si="35"/>
        <v/>
      </c>
      <c r="W31" s="72" t="str">
        <f t="shared" si="36"/>
        <v/>
      </c>
      <c r="X31" s="57" t="str">
        <f t="shared" si="37"/>
        <v/>
      </c>
      <c r="Y31" s="57" t="str">
        <f t="shared" si="38"/>
        <v/>
      </c>
      <c r="Z31" s="57"/>
      <c r="AA31" s="57"/>
      <c r="AB31" s="57"/>
      <c r="AC31" s="57"/>
      <c r="AD31" s="57"/>
      <c r="AE31" s="57"/>
      <c r="AF31" s="57"/>
      <c r="AG31" s="57"/>
      <c r="AH31" s="57"/>
      <c r="AI31" s="57"/>
      <c r="AJ31" s="57"/>
      <c r="AK31" s="57"/>
      <c r="AL31" s="57"/>
      <c r="AM31" s="57"/>
      <c r="AN31" s="57"/>
      <c r="AO31" s="57"/>
      <c r="AP31" s="57"/>
      <c r="AQ31" s="57"/>
      <c r="AR31" s="57"/>
      <c r="AS31" s="57"/>
    </row>
    <row r="32" spans="1:45">
      <c r="A32" s="57">
        <v>0</v>
      </c>
      <c r="B32" s="57">
        <v>2028</v>
      </c>
      <c r="C32" s="62">
        <f>0</f>
        <v>0</v>
      </c>
      <c r="D32" s="62">
        <f>0</f>
        <v>0</v>
      </c>
      <c r="E32" s="62">
        <f>0</f>
        <v>0</v>
      </c>
      <c r="F32" s="62">
        <f>0</f>
        <v>0</v>
      </c>
      <c r="G32" s="62">
        <f>IF(AND(2028&gt;=2026,2028&lt;2026+'7. Pasirinktinis scenarijus'!$C$5),0/'7. Pasirinktinis scenarijus'!$C$5,0)</f>
        <v>0</v>
      </c>
      <c r="H32" s="62">
        <f t="shared" si="32"/>
        <v>0</v>
      </c>
      <c r="I32" s="62">
        <f>0</f>
        <v>0</v>
      </c>
      <c r="J32" s="62">
        <f t="shared" si="39"/>
        <v>0</v>
      </c>
      <c r="K32" s="62">
        <f>0</f>
        <v>0</v>
      </c>
      <c r="L32" s="62">
        <f>0</f>
        <v>0</v>
      </c>
      <c r="M32" s="62">
        <f>0</f>
        <v>0</v>
      </c>
      <c r="N32" s="62">
        <f>'3. Finansinės prielaidos'!E30+M32</f>
        <v>0</v>
      </c>
      <c r="O32" s="62">
        <f>'3. Finansinės prielaidos'!E31</f>
        <v>0</v>
      </c>
      <c r="P32" s="62">
        <f>'3. Finansinės prielaidos'!E32</f>
        <v>0</v>
      </c>
      <c r="Q32" s="62">
        <f t="shared" si="33"/>
        <v>0</v>
      </c>
      <c r="R32" s="62">
        <f>R31+('3. Finansinės prielaidos'!E31-'3. Finansinės prielaidos'!D31)+Q32</f>
        <v>0</v>
      </c>
      <c r="S32" s="62">
        <f>0</f>
        <v>0</v>
      </c>
      <c r="T32" s="62">
        <f>'3. Finansinės prielaidos'!E29+S32+G32</f>
        <v>0</v>
      </c>
      <c r="U32" s="62">
        <f t="shared" si="34"/>
        <v>0</v>
      </c>
      <c r="V32" s="72" t="str">
        <f t="shared" si="35"/>
        <v/>
      </c>
      <c r="W32" s="72" t="str">
        <f t="shared" si="36"/>
        <v/>
      </c>
      <c r="X32" s="57" t="str">
        <f t="shared" si="37"/>
        <v/>
      </c>
      <c r="Y32" s="57" t="str">
        <f t="shared" si="38"/>
        <v/>
      </c>
      <c r="Z32" s="57"/>
      <c r="AA32" s="57"/>
      <c r="AB32" s="57"/>
      <c r="AC32" s="57"/>
      <c r="AD32" s="57"/>
      <c r="AE32" s="57"/>
      <c r="AF32" s="57"/>
      <c r="AG32" s="57"/>
      <c r="AH32" s="57"/>
      <c r="AI32" s="57"/>
      <c r="AJ32" s="57"/>
      <c r="AK32" s="57"/>
      <c r="AL32" s="57"/>
      <c r="AM32" s="57"/>
      <c r="AN32" s="57"/>
      <c r="AO32" s="57"/>
      <c r="AP32" s="57"/>
      <c r="AQ32" s="57"/>
      <c r="AR32" s="57"/>
      <c r="AS32" s="57"/>
    </row>
    <row r="33" spans="1:45">
      <c r="A33" s="57">
        <v>0</v>
      </c>
      <c r="B33" s="57">
        <v>2029</v>
      </c>
      <c r="C33" s="62">
        <f>0</f>
        <v>0</v>
      </c>
      <c r="D33" s="62">
        <f>0</f>
        <v>0</v>
      </c>
      <c r="E33" s="62">
        <f>0</f>
        <v>0</v>
      </c>
      <c r="F33" s="62">
        <f>0</f>
        <v>0</v>
      </c>
      <c r="G33" s="62">
        <f>IF(AND(2029&gt;=2026,2029&lt;2026+'7. Pasirinktinis scenarijus'!$C$5),0/'7. Pasirinktinis scenarijus'!$C$5,0)</f>
        <v>0</v>
      </c>
      <c r="H33" s="62">
        <f t="shared" si="32"/>
        <v>0</v>
      </c>
      <c r="I33" s="62">
        <f>0</f>
        <v>0</v>
      </c>
      <c r="J33" s="62">
        <f t="shared" si="39"/>
        <v>0</v>
      </c>
      <c r="K33" s="62">
        <f>0</f>
        <v>0</v>
      </c>
      <c r="L33" s="62">
        <f>0</f>
        <v>0</v>
      </c>
      <c r="M33" s="62">
        <f>0</f>
        <v>0</v>
      </c>
      <c r="N33" s="62">
        <f>'3. Finansinės prielaidos'!F30+M33</f>
        <v>0</v>
      </c>
      <c r="O33" s="62">
        <f>'3. Finansinės prielaidos'!F31</f>
        <v>0</v>
      </c>
      <c r="P33" s="62">
        <f>'3. Finansinės prielaidos'!F32</f>
        <v>0</v>
      </c>
      <c r="Q33" s="62">
        <f t="shared" si="33"/>
        <v>0</v>
      </c>
      <c r="R33" s="62">
        <f>R32+('3. Finansinės prielaidos'!F31-'3. Finansinės prielaidos'!E31)+Q33</f>
        <v>0</v>
      </c>
      <c r="S33" s="62">
        <f>0</f>
        <v>0</v>
      </c>
      <c r="T33" s="62">
        <f>'3. Finansinės prielaidos'!F29+S33+G33</f>
        <v>0</v>
      </c>
      <c r="U33" s="62">
        <f t="shared" si="34"/>
        <v>0</v>
      </c>
      <c r="V33" s="72" t="str">
        <f t="shared" si="35"/>
        <v/>
      </c>
      <c r="W33" s="72" t="str">
        <f t="shared" si="36"/>
        <v/>
      </c>
      <c r="X33" s="57" t="str">
        <f t="shared" si="37"/>
        <v/>
      </c>
      <c r="Y33" s="57" t="str">
        <f t="shared" si="38"/>
        <v/>
      </c>
      <c r="Z33" s="57"/>
      <c r="AA33" s="57"/>
      <c r="AB33" s="57"/>
      <c r="AC33" s="57"/>
      <c r="AD33" s="57"/>
      <c r="AE33" s="57"/>
      <c r="AF33" s="57"/>
      <c r="AG33" s="57"/>
      <c r="AH33" s="57"/>
      <c r="AI33" s="57"/>
      <c r="AJ33" s="57"/>
      <c r="AK33" s="57"/>
      <c r="AL33" s="57"/>
      <c r="AM33" s="57"/>
      <c r="AN33" s="57"/>
      <c r="AO33" s="57"/>
      <c r="AP33" s="57"/>
      <c r="AQ33" s="57"/>
      <c r="AR33" s="57"/>
      <c r="AS33" s="57"/>
    </row>
    <row r="34" spans="1:45">
      <c r="A34" s="57">
        <v>0</v>
      </c>
      <c r="B34" s="57">
        <v>2030</v>
      </c>
      <c r="C34" s="62">
        <f>0</f>
        <v>0</v>
      </c>
      <c r="D34" s="62">
        <f>0</f>
        <v>0</v>
      </c>
      <c r="E34" s="62">
        <f>0</f>
        <v>0</v>
      </c>
      <c r="F34" s="62">
        <f>0</f>
        <v>0</v>
      </c>
      <c r="G34" s="62">
        <f>IF(AND(2030&gt;=2026,2030&lt;2026+'7. Pasirinktinis scenarijus'!$C$5),0/'7. Pasirinktinis scenarijus'!$C$5,0)</f>
        <v>0</v>
      </c>
      <c r="H34" s="62">
        <f t="shared" si="32"/>
        <v>0</v>
      </c>
      <c r="I34" s="62">
        <f>0</f>
        <v>0</v>
      </c>
      <c r="J34" s="62">
        <f t="shared" si="39"/>
        <v>0</v>
      </c>
      <c r="K34" s="62">
        <f>0</f>
        <v>0</v>
      </c>
      <c r="L34" s="62">
        <f>0</f>
        <v>0</v>
      </c>
      <c r="M34" s="62">
        <f>0</f>
        <v>0</v>
      </c>
      <c r="N34" s="62">
        <f>'3. Finansinės prielaidos'!G30+M34</f>
        <v>0</v>
      </c>
      <c r="O34" s="62">
        <f>'3. Finansinės prielaidos'!G31</f>
        <v>0</v>
      </c>
      <c r="P34" s="62">
        <f>'3. Finansinės prielaidos'!G32</f>
        <v>0</v>
      </c>
      <c r="Q34" s="62">
        <f t="shared" si="33"/>
        <v>0</v>
      </c>
      <c r="R34" s="62">
        <f>R33+('3. Finansinės prielaidos'!G31-'3. Finansinės prielaidos'!F31)+Q34</f>
        <v>0</v>
      </c>
      <c r="S34" s="62">
        <f>0</f>
        <v>0</v>
      </c>
      <c r="T34" s="62">
        <f>'3. Finansinės prielaidos'!G29+S34+G34</f>
        <v>0</v>
      </c>
      <c r="U34" s="62">
        <f t="shared" si="34"/>
        <v>0</v>
      </c>
      <c r="V34" s="72" t="str">
        <f t="shared" si="35"/>
        <v/>
      </c>
      <c r="W34" s="72" t="str">
        <f t="shared" si="36"/>
        <v/>
      </c>
      <c r="X34" s="57" t="str">
        <f t="shared" si="37"/>
        <v/>
      </c>
      <c r="Y34" s="57" t="str">
        <f t="shared" si="38"/>
        <v/>
      </c>
      <c r="Z34" s="57"/>
      <c r="AA34" s="57"/>
      <c r="AB34" s="57"/>
      <c r="AC34" s="57"/>
      <c r="AD34" s="57"/>
      <c r="AE34" s="57"/>
      <c r="AF34" s="57"/>
      <c r="AG34" s="57"/>
      <c r="AH34" s="57"/>
      <c r="AI34" s="57"/>
      <c r="AJ34" s="57"/>
      <c r="AK34" s="57"/>
      <c r="AL34" s="57"/>
      <c r="AM34" s="57"/>
      <c r="AN34" s="57"/>
      <c r="AO34" s="57"/>
      <c r="AP34" s="57"/>
      <c r="AQ34" s="57"/>
      <c r="AR34" s="57"/>
      <c r="AS34" s="57"/>
    </row>
    <row r="35" spans="1:45">
      <c r="A35" s="57">
        <v>0</v>
      </c>
      <c r="B35" s="57">
        <v>2031</v>
      </c>
      <c r="C35" s="62">
        <f>0</f>
        <v>0</v>
      </c>
      <c r="D35" s="62">
        <f>0</f>
        <v>0</v>
      </c>
      <c r="E35" s="62">
        <f>0</f>
        <v>0</v>
      </c>
      <c r="F35" s="62">
        <f>0</f>
        <v>0</v>
      </c>
      <c r="G35" s="62">
        <f>IF(AND(2031&gt;=2026,2031&lt;2026+'7. Pasirinktinis scenarijus'!$C$5),0/'7. Pasirinktinis scenarijus'!$C$5,0)</f>
        <v>0</v>
      </c>
      <c r="H35" s="62">
        <f t="shared" si="32"/>
        <v>0</v>
      </c>
      <c r="I35" s="62">
        <f>0</f>
        <v>0</v>
      </c>
      <c r="J35" s="62">
        <f t="shared" si="39"/>
        <v>0</v>
      </c>
      <c r="K35" s="62">
        <f>0</f>
        <v>0</v>
      </c>
      <c r="L35" s="62">
        <f>0</f>
        <v>0</v>
      </c>
      <c r="M35" s="62">
        <f>0</f>
        <v>0</v>
      </c>
      <c r="N35" s="62">
        <f>'3. Finansinės prielaidos'!H30+M35</f>
        <v>0</v>
      </c>
      <c r="O35" s="62">
        <f>'3. Finansinės prielaidos'!H31</f>
        <v>0</v>
      </c>
      <c r="P35" s="62">
        <f>'3. Finansinės prielaidos'!H32</f>
        <v>0</v>
      </c>
      <c r="Q35" s="62">
        <f t="shared" si="33"/>
        <v>0</v>
      </c>
      <c r="R35" s="62">
        <f>R34+('3. Finansinės prielaidos'!H31-'3. Finansinės prielaidos'!G31)+Q35</f>
        <v>0</v>
      </c>
      <c r="S35" s="62">
        <f>0</f>
        <v>0</v>
      </c>
      <c r="T35" s="62">
        <f>'3. Finansinės prielaidos'!H29+S35+G35</f>
        <v>0</v>
      </c>
      <c r="U35" s="62">
        <f t="shared" si="34"/>
        <v>0</v>
      </c>
      <c r="V35" s="72" t="str">
        <f t="shared" si="35"/>
        <v/>
      </c>
      <c r="W35" s="72" t="str">
        <f t="shared" si="36"/>
        <v/>
      </c>
      <c r="X35" s="57" t="str">
        <f t="shared" si="37"/>
        <v/>
      </c>
      <c r="Y35" s="57" t="str">
        <f t="shared" si="38"/>
        <v/>
      </c>
      <c r="Z35" s="57"/>
      <c r="AA35" s="57"/>
      <c r="AB35" s="57"/>
      <c r="AC35" s="57"/>
      <c r="AD35" s="57"/>
      <c r="AE35" s="57"/>
      <c r="AF35" s="57"/>
      <c r="AG35" s="57"/>
      <c r="AH35" s="57"/>
      <c r="AI35" s="57"/>
      <c r="AJ35" s="57"/>
      <c r="AK35" s="57"/>
      <c r="AL35" s="57"/>
      <c r="AM35" s="57"/>
      <c r="AN35" s="57"/>
      <c r="AO35" s="57"/>
      <c r="AP35" s="57"/>
      <c r="AQ35" s="57"/>
      <c r="AR35" s="57"/>
      <c r="AS35" s="57"/>
    </row>
    <row r="36" spans="1:45">
      <c r="A36" s="57">
        <v>0</v>
      </c>
      <c r="B36" s="57">
        <v>2032</v>
      </c>
      <c r="C36" s="62">
        <f>0</f>
        <v>0</v>
      </c>
      <c r="D36" s="62">
        <f>0</f>
        <v>0</v>
      </c>
      <c r="E36" s="62">
        <f>0</f>
        <v>0</v>
      </c>
      <c r="F36" s="62">
        <f>0</f>
        <v>0</v>
      </c>
      <c r="G36" s="62">
        <f>IF(AND(2032&gt;=2026,2032&lt;2026+'7. Pasirinktinis scenarijus'!$C$5),0/'7. Pasirinktinis scenarijus'!$C$5,0)</f>
        <v>0</v>
      </c>
      <c r="H36" s="62">
        <f t="shared" si="32"/>
        <v>0</v>
      </c>
      <c r="I36" s="62">
        <f>0</f>
        <v>0</v>
      </c>
      <c r="J36" s="62">
        <f t="shared" si="39"/>
        <v>0</v>
      </c>
      <c r="K36" s="62">
        <f>0</f>
        <v>0</v>
      </c>
      <c r="L36" s="62">
        <f>0</f>
        <v>0</v>
      </c>
      <c r="M36" s="62">
        <f>0</f>
        <v>0</v>
      </c>
      <c r="N36" s="62">
        <f>'3. Finansinės prielaidos'!I30+M36</f>
        <v>0</v>
      </c>
      <c r="O36" s="62">
        <f>'3. Finansinės prielaidos'!I31</f>
        <v>0</v>
      </c>
      <c r="P36" s="62">
        <f>'3. Finansinės prielaidos'!I32</f>
        <v>0</v>
      </c>
      <c r="Q36" s="62">
        <f t="shared" si="33"/>
        <v>0</v>
      </c>
      <c r="R36" s="62">
        <f>R35+('3. Finansinės prielaidos'!I31-'3. Finansinės prielaidos'!H31)+Q36</f>
        <v>0</v>
      </c>
      <c r="S36" s="62">
        <f>0</f>
        <v>0</v>
      </c>
      <c r="T36" s="62">
        <f>'3. Finansinės prielaidos'!I29+S36+G36</f>
        <v>0</v>
      </c>
      <c r="U36" s="62">
        <f t="shared" si="34"/>
        <v>0</v>
      </c>
      <c r="V36" s="72" t="str">
        <f t="shared" si="35"/>
        <v/>
      </c>
      <c r="W36" s="72" t="str">
        <f t="shared" si="36"/>
        <v/>
      </c>
      <c r="X36" s="57" t="str">
        <f t="shared" si="37"/>
        <v/>
      </c>
      <c r="Y36" s="57" t="str">
        <f t="shared" si="38"/>
        <v/>
      </c>
      <c r="Z36" s="57"/>
      <c r="AA36" s="57"/>
      <c r="AB36" s="57"/>
      <c r="AC36" s="57"/>
      <c r="AD36" s="57"/>
      <c r="AE36" s="57"/>
      <c r="AF36" s="57"/>
      <c r="AG36" s="57"/>
      <c r="AH36" s="57"/>
      <c r="AI36" s="57"/>
      <c r="AJ36" s="57"/>
      <c r="AK36" s="57"/>
      <c r="AL36" s="57"/>
      <c r="AM36" s="57"/>
      <c r="AN36" s="57"/>
      <c r="AO36" s="57"/>
      <c r="AP36" s="57"/>
      <c r="AQ36" s="57"/>
      <c r="AR36" s="57"/>
      <c r="AS36" s="57"/>
    </row>
    <row r="37" spans="1:45">
      <c r="A37" s="57">
        <v>0</v>
      </c>
      <c r="B37" s="57">
        <v>2033</v>
      </c>
      <c r="C37" s="62">
        <f>0</f>
        <v>0</v>
      </c>
      <c r="D37" s="62">
        <f>0</f>
        <v>0</v>
      </c>
      <c r="E37" s="62">
        <f>0</f>
        <v>0</v>
      </c>
      <c r="F37" s="62">
        <f>0</f>
        <v>0</v>
      </c>
      <c r="G37" s="62">
        <f>IF(AND(2033&gt;=2026,2033&lt;2026+'7. Pasirinktinis scenarijus'!$C$5),0/'7. Pasirinktinis scenarijus'!$C$5,0)</f>
        <v>0</v>
      </c>
      <c r="H37" s="62">
        <f t="shared" si="32"/>
        <v>0</v>
      </c>
      <c r="I37" s="62">
        <f>0</f>
        <v>0</v>
      </c>
      <c r="J37" s="62">
        <f t="shared" si="39"/>
        <v>0</v>
      </c>
      <c r="K37" s="62">
        <f>0</f>
        <v>0</v>
      </c>
      <c r="L37" s="62">
        <f>0</f>
        <v>0</v>
      </c>
      <c r="M37" s="62">
        <f>0</f>
        <v>0</v>
      </c>
      <c r="N37" s="62">
        <f>'3. Finansinės prielaidos'!J30+M37</f>
        <v>0</v>
      </c>
      <c r="O37" s="62">
        <f>'3. Finansinės prielaidos'!J31</f>
        <v>0</v>
      </c>
      <c r="P37" s="62">
        <f>'3. Finansinės prielaidos'!J32</f>
        <v>0</v>
      </c>
      <c r="Q37" s="62">
        <f t="shared" si="33"/>
        <v>0</v>
      </c>
      <c r="R37" s="62">
        <f>R36+('3. Finansinės prielaidos'!J31-'3. Finansinės prielaidos'!I31)+Q37</f>
        <v>0</v>
      </c>
      <c r="S37" s="62">
        <f>0</f>
        <v>0</v>
      </c>
      <c r="T37" s="62">
        <f>'3. Finansinės prielaidos'!J29+S37+G37</f>
        <v>0</v>
      </c>
      <c r="U37" s="62">
        <f t="shared" si="34"/>
        <v>0</v>
      </c>
      <c r="V37" s="72" t="str">
        <f t="shared" si="35"/>
        <v/>
      </c>
      <c r="W37" s="72" t="str">
        <f t="shared" si="36"/>
        <v/>
      </c>
      <c r="X37" s="57" t="str">
        <f t="shared" si="37"/>
        <v/>
      </c>
      <c r="Y37" s="57" t="str">
        <f t="shared" si="38"/>
        <v/>
      </c>
      <c r="Z37" s="57"/>
      <c r="AA37" s="57"/>
      <c r="AB37" s="57"/>
      <c r="AC37" s="57"/>
      <c r="AD37" s="57"/>
      <c r="AE37" s="57"/>
      <c r="AF37" s="57"/>
      <c r="AG37" s="57"/>
      <c r="AH37" s="57"/>
      <c r="AI37" s="57"/>
      <c r="AJ37" s="57"/>
      <c r="AK37" s="57"/>
      <c r="AL37" s="57"/>
      <c r="AM37" s="57"/>
      <c r="AN37" s="57"/>
      <c r="AO37" s="57"/>
      <c r="AP37" s="57"/>
      <c r="AQ37" s="57"/>
      <c r="AR37" s="57"/>
      <c r="AS37" s="57"/>
    </row>
    <row r="38" spans="1:45">
      <c r="A38" s="57">
        <v>0</v>
      </c>
      <c r="B38" s="57">
        <v>2034</v>
      </c>
      <c r="C38" s="62">
        <f>0</f>
        <v>0</v>
      </c>
      <c r="D38" s="62">
        <f>0</f>
        <v>0</v>
      </c>
      <c r="E38" s="62">
        <f>0</f>
        <v>0</v>
      </c>
      <c r="F38" s="62">
        <f>0</f>
        <v>0</v>
      </c>
      <c r="G38" s="62">
        <f>IF(AND(2034&gt;=2026,2034&lt;2026+'7. Pasirinktinis scenarijus'!$C$5),0/'7. Pasirinktinis scenarijus'!$C$5,0)</f>
        <v>0</v>
      </c>
      <c r="H38" s="62">
        <f t="shared" si="32"/>
        <v>0</v>
      </c>
      <c r="I38" s="62">
        <f>0</f>
        <v>0</v>
      </c>
      <c r="J38" s="62">
        <f t="shared" si="39"/>
        <v>0</v>
      </c>
      <c r="K38" s="62">
        <f>0</f>
        <v>0</v>
      </c>
      <c r="L38" s="62">
        <f>0</f>
        <v>0</v>
      </c>
      <c r="M38" s="62">
        <f>0</f>
        <v>0</v>
      </c>
      <c r="N38" s="62">
        <f>'3. Finansinės prielaidos'!K30+M38</f>
        <v>0</v>
      </c>
      <c r="O38" s="62">
        <f>'3. Finansinės prielaidos'!K31</f>
        <v>0</v>
      </c>
      <c r="P38" s="62">
        <f>'3. Finansinės prielaidos'!K32</f>
        <v>0</v>
      </c>
      <c r="Q38" s="62">
        <f t="shared" si="33"/>
        <v>0</v>
      </c>
      <c r="R38" s="62">
        <f>R37+('3. Finansinės prielaidos'!K31-'3. Finansinės prielaidos'!J31)+Q38</f>
        <v>0</v>
      </c>
      <c r="S38" s="62">
        <f>0</f>
        <v>0</v>
      </c>
      <c r="T38" s="62">
        <f>'3. Finansinės prielaidos'!K29+S38+G38</f>
        <v>0</v>
      </c>
      <c r="U38" s="62">
        <f t="shared" si="34"/>
        <v>0</v>
      </c>
      <c r="V38" s="72" t="str">
        <f t="shared" si="35"/>
        <v/>
      </c>
      <c r="W38" s="72" t="str">
        <f t="shared" si="36"/>
        <v/>
      </c>
      <c r="X38" s="57" t="str">
        <f t="shared" si="37"/>
        <v/>
      </c>
      <c r="Y38" s="57" t="str">
        <f t="shared" si="38"/>
        <v/>
      </c>
      <c r="Z38" s="57"/>
      <c r="AA38" s="57"/>
      <c r="AB38" s="57"/>
      <c r="AC38" s="57"/>
      <c r="AD38" s="57"/>
      <c r="AE38" s="57"/>
      <c r="AF38" s="57"/>
      <c r="AG38" s="57"/>
      <c r="AH38" s="57"/>
      <c r="AI38" s="57"/>
      <c r="AJ38" s="57"/>
      <c r="AK38" s="57"/>
      <c r="AL38" s="57"/>
      <c r="AM38" s="57"/>
      <c r="AN38" s="57"/>
      <c r="AO38" s="57"/>
      <c r="AP38" s="57"/>
      <c r="AQ38" s="57"/>
      <c r="AR38" s="57"/>
      <c r="AS38" s="57"/>
    </row>
    <row r="39" spans="1:45">
      <c r="A39" s="57">
        <v>0</v>
      </c>
      <c r="B39" s="57">
        <v>2035</v>
      </c>
      <c r="C39" s="62">
        <f>0</f>
        <v>0</v>
      </c>
      <c r="D39" s="62">
        <f>0</f>
        <v>0</v>
      </c>
      <c r="E39" s="62">
        <f>0</f>
        <v>0</v>
      </c>
      <c r="F39" s="62">
        <f>0</f>
        <v>0</v>
      </c>
      <c r="G39" s="62">
        <f>IF(AND(2035&gt;=2026,2035&lt;2026+'7. Pasirinktinis scenarijus'!$C$5),0/'7. Pasirinktinis scenarijus'!$C$5,0)</f>
        <v>0</v>
      </c>
      <c r="H39" s="62">
        <f t="shared" si="32"/>
        <v>0</v>
      </c>
      <c r="I39" s="62">
        <f>0</f>
        <v>0</v>
      </c>
      <c r="J39" s="62">
        <f t="shared" si="39"/>
        <v>0</v>
      </c>
      <c r="K39" s="62">
        <f>0</f>
        <v>0</v>
      </c>
      <c r="L39" s="62">
        <f>0</f>
        <v>0</v>
      </c>
      <c r="M39" s="62">
        <f>0</f>
        <v>0</v>
      </c>
      <c r="N39" s="62">
        <f>'3. Finansinės prielaidos'!L30+M39</f>
        <v>0</v>
      </c>
      <c r="O39" s="62">
        <f>'3. Finansinės prielaidos'!L31</f>
        <v>0</v>
      </c>
      <c r="P39" s="62">
        <f>'3. Finansinės prielaidos'!L32</f>
        <v>0</v>
      </c>
      <c r="Q39" s="62">
        <f t="shared" si="33"/>
        <v>0</v>
      </c>
      <c r="R39" s="62">
        <f>R38+('3. Finansinės prielaidos'!L31-'3. Finansinės prielaidos'!K31)+Q39</f>
        <v>0</v>
      </c>
      <c r="S39" s="62">
        <f>0</f>
        <v>0</v>
      </c>
      <c r="T39" s="62">
        <f>'3. Finansinės prielaidos'!L29+S39+G39</f>
        <v>0</v>
      </c>
      <c r="U39" s="62">
        <f t="shared" si="34"/>
        <v>0</v>
      </c>
      <c r="V39" s="72" t="str">
        <f t="shared" si="35"/>
        <v/>
      </c>
      <c r="W39" s="72" t="str">
        <f t="shared" si="36"/>
        <v/>
      </c>
      <c r="X39" s="57" t="str">
        <f t="shared" si="37"/>
        <v/>
      </c>
      <c r="Y39" s="57" t="str">
        <f t="shared" si="38"/>
        <v/>
      </c>
      <c r="Z39" s="57"/>
      <c r="AA39" s="57"/>
      <c r="AB39" s="57"/>
      <c r="AC39" s="57"/>
      <c r="AD39" s="57"/>
      <c r="AE39" s="57"/>
      <c r="AF39" s="57"/>
      <c r="AG39" s="57"/>
      <c r="AH39" s="57"/>
      <c r="AI39" s="57"/>
      <c r="AJ39" s="57"/>
      <c r="AK39" s="57"/>
      <c r="AL39" s="57"/>
      <c r="AM39" s="57"/>
      <c r="AN39" s="57"/>
      <c r="AO39" s="57"/>
      <c r="AP39" s="57"/>
      <c r="AQ39" s="57"/>
      <c r="AR39" s="57"/>
      <c r="AS39" s="57"/>
    </row>
    <row r="40" spans="1:45">
      <c r="A40" s="57">
        <v>1</v>
      </c>
      <c r="B40" s="57">
        <v>2026</v>
      </c>
      <c r="C40" s="62">
        <f>SUM('4. Metinis CAPEX'!F$9:F$9)</f>
        <v>0</v>
      </c>
      <c r="D40" s="62" cm="1">
        <f t="array" ref="D40">SUMPRODUCT('4. Metinis CAPEX'!F$9:F$9,IFERROR('2. Investicijos'!$N$5:$N$5/'2. Investicijos'!$H$5:$H$5,0))</f>
        <v>0</v>
      </c>
      <c r="E40" s="62" cm="1">
        <f t="array" ref="E40">SUMPRODUCT('4. Metinis CAPEX'!F$9:F$9,IFERROR(('2. Investicijos'!$I$5:$I$5+'2. Investicijos'!$J$5:$J$5+'2. Investicijos'!$K$5:$K$5+'2. Investicijos'!$L$5:$L$5)/'2. Investicijos'!$H$5:$H$5,0))</f>
        <v>0</v>
      </c>
      <c r="F40" s="62" cm="1">
        <f t="array" ref="F40">SUM('2. Investicijos'!$H$5:$H$5*'7. Pasirinktinis scenarijus'!$C$6)</f>
        <v>0</v>
      </c>
      <c r="G40" s="62" cm="1">
        <f t="array" ref="G40">IF(AND(2026&gt;=2026,2026&lt;2026+'7. Pasirinktinis scenarijus'!$C$5),SUM('2. Investicijos'!$H$5:$H$5*'7. Pasirinktinis scenarijus'!$C$6)/'7. Pasirinktinis scenarijus'!$C$5,0)</f>
        <v>0</v>
      </c>
      <c r="H40" s="62">
        <f t="shared" ref="H40:H71" si="40">D40-I40</f>
        <v>0</v>
      </c>
      <c r="I40" s="62">
        <f>SUM(F$5:F$5)</f>
        <v>0</v>
      </c>
      <c r="J40" s="62">
        <f>0</f>
        <v>0</v>
      </c>
      <c r="K40" s="62">
        <f>SUM(Z$5:Z$5)</f>
        <v>0</v>
      </c>
      <c r="L40" s="62">
        <f>SUM(P$5:P$5)</f>
        <v>0</v>
      </c>
      <c r="M40" s="62">
        <f>SUM(AJ$5:AJ$5)</f>
        <v>0</v>
      </c>
      <c r="N40" s="62">
        <f>'3. Finansinės prielaidos'!C30+M40</f>
        <v>0</v>
      </c>
      <c r="O40" s="62">
        <f>'3. Finansinės prielaidos'!C31</f>
        <v>0</v>
      </c>
      <c r="P40" s="62">
        <f>'3. Finansinės prielaidos'!C32</f>
        <v>0</v>
      </c>
      <c r="Q40" s="62" t="e">
        <f t="shared" ref="Q40:Q71" si="41">S40+G40+I40+E40-C40-J40</f>
        <v>#VALUE!</v>
      </c>
      <c r="R40" s="62" t="e">
        <f>O40+Q40</f>
        <v>#VALUE!</v>
      </c>
      <c r="S40" s="62" t="e" cm="1">
        <f t="array" ref="S40">SUMPRODUCT(--(2026&gt;'2. Investicijos'!$F$5:$F$5),--(2026&lt;='2. Investicijos'!$F$5:$F$5+'2. Investicijos'!$G$5:$G$5),IFERROR(('2. Investicijos'!$M$5:$M$5+IF('2. Investicijos'!$N$5:$N$5&gt;('2. Investicijos'!$H$5:$H$5*'7. Pasirinktinis scenarijus'!$C$6),'2. Investicijos'!$N$5:$N$5-('2. Investicijos'!$H$5:$H$5*'7. Pasirinktinis scenarijus'!$C$6),0)+('2. Investicijos'!$H$5:$H$5*'7. Pasirinktinis scenarijus'!$C$6))/'2. Investicijos'!$G$5:$G$5,0))+SUMPRODUCT(--(2026&gt;'2. Investicijos'!$F$5:$F$5),--(2026&lt;='2. Investicijos'!$F$5:$F$5+'2. Investicijos'!$G$5:$G$5),IFERROR(('2. Investicijos'!$M$5:$M$5+IF('2. Investicijos'!$N$5:$N$5&gt;('2. Investicijos'!$H$5:$H$5*'7. Pasirinktinis scenarijus'!$C$6),'2. Investicijos'!$N$5:$N$5-('2. Investicijos'!$H$5:$H$5*'7. Pasirinktinis scenarijus'!$C$6),0))*(1-((2026-'2. Investicijos'!$F$5:$F$5)-1)/'2. Investicijos'!$G$5:$G$5),0)*'5. 0% scenarijus'!$C$5)</f>
        <v>#VALUE!</v>
      </c>
      <c r="T40" s="62" t="e">
        <f>'3. Finansinės prielaidos'!C29+S40+G40</f>
        <v>#VALUE!</v>
      </c>
      <c r="U40" s="62" t="e">
        <f t="shared" ref="U40:U71" si="42">N40-R40</f>
        <v>#VALUE!</v>
      </c>
      <c r="V40" s="72" t="e">
        <f t="shared" ref="V40:V71" si="43">IF(OR(T40="",T40&lt;=0),"",U40/T40)</f>
        <v>#VALUE!</v>
      </c>
      <c r="W40" s="72" t="e">
        <f t="shared" ref="W40:W71" si="44">IF(T40&lt;=0,"",IF(P40+J40=0,999999,T40/(P40+J40)))</f>
        <v>#VALUE!</v>
      </c>
      <c r="X40" s="57" t="e">
        <f t="shared" ref="X40:X71" si="45">IF(OR(V40="",W40=""),"",IF(AND(V40&lt;=5.5,W40&gt;=1.2),"ATITINKA","NEATITINKA"))</f>
        <v>#VALUE!</v>
      </c>
      <c r="Y40" s="57" t="e">
        <f t="shared" ref="Y40:Y71" si="46">IF(X40&lt;&gt;"NEATITINKA","",IF(T40&lt;=0,"EBITDA ≤ 0",IF(AND(V40&gt;5.5,W40&lt;1.2),"Abu",IF(V40&gt;5.5,"Net Debt / EBITDA","DSCR"))))</f>
        <v>#VALUE!</v>
      </c>
      <c r="Z40" s="57"/>
      <c r="AA40" s="57"/>
      <c r="AB40" s="57"/>
      <c r="AC40" s="57"/>
      <c r="AD40" s="57"/>
      <c r="AE40" s="57"/>
      <c r="AF40" s="57"/>
      <c r="AG40" s="57"/>
      <c r="AH40" s="57"/>
      <c r="AI40" s="57"/>
      <c r="AJ40" s="57"/>
      <c r="AK40" s="57"/>
      <c r="AL40" s="57"/>
      <c r="AM40" s="57"/>
      <c r="AN40" s="57"/>
      <c r="AO40" s="57"/>
      <c r="AP40" s="57"/>
      <c r="AQ40" s="57"/>
      <c r="AR40" s="57"/>
      <c r="AS40" s="57"/>
    </row>
    <row r="41" spans="1:45">
      <c r="A41" s="57">
        <v>1</v>
      </c>
      <c r="B41" s="57">
        <v>2027</v>
      </c>
      <c r="C41" s="62">
        <f>SUM('4. Metinis CAPEX'!G$9:G$9)</f>
        <v>0</v>
      </c>
      <c r="D41" s="62" cm="1">
        <f t="array" ref="D41">SUMPRODUCT('4. Metinis CAPEX'!G$9:G$9,IFERROR('2. Investicijos'!$N$5:$N$5/'2. Investicijos'!$H$5:$H$5,0))</f>
        <v>0</v>
      </c>
      <c r="E41" s="62" cm="1">
        <f t="array" ref="E41">SUMPRODUCT('4. Metinis CAPEX'!G$9:G$9,IFERROR(('2. Investicijos'!$I$5:$I$5+'2. Investicijos'!$J$5:$J$5+'2. Investicijos'!$K$5:$K$5+'2. Investicijos'!$L$5:$L$5)/'2. Investicijos'!$H$5:$H$5,0))</f>
        <v>0</v>
      </c>
      <c r="F41" s="62" cm="1">
        <f t="array" ref="F41">SUM('2. Investicijos'!$H$5:$H$5*'7. Pasirinktinis scenarijus'!$C$6)</f>
        <v>0</v>
      </c>
      <c r="G41" s="62" cm="1">
        <f t="array" ref="G41">IF(AND(2027&gt;=2026,2027&lt;2026+'7. Pasirinktinis scenarijus'!$C$5),SUM('2. Investicijos'!$H$5:$H$5*'7. Pasirinktinis scenarijus'!$C$6)/'7. Pasirinktinis scenarijus'!$C$5,0)</f>
        <v>0</v>
      </c>
      <c r="H41" s="62">
        <f t="shared" si="40"/>
        <v>0</v>
      </c>
      <c r="I41" s="62">
        <f>SUM(G$5:G$5)</f>
        <v>0</v>
      </c>
      <c r="J41" s="62" t="e" cm="1">
        <f t="array" ref="J41">K41+L41+MAX(0,-R40)*IFERROR(SUMPRODUCT(IF('2. Investicijos'!$N$5:$N$5&gt;('2. Investicijos'!$H$5:$H$5*'7. Pasirinktinis scenarijus'!$C$6),'2. Investicijos'!$N$5:$N$5-('2. Investicijos'!$H$5:$H$5*'7. Pasirinktinis scenarijus'!$C$6),0),'2. Investicijos'!$O$5:$O$5/100)/SUM(IF('2. Investicijos'!$N$5:$N$5&gt;('2. Investicijos'!$H$5:$H$5*'7. Pasirinktinis scenarijus'!$C$6),'2. Investicijos'!$N$5:$N$5-('2. Investicijos'!$H$5:$H$5*'7. Pasirinktinis scenarijus'!$C$6),0)),0)</f>
        <v>#VALUE!</v>
      </c>
      <c r="K41" s="62">
        <f>SUM(AA$5:AA$5)</f>
        <v>0</v>
      </c>
      <c r="L41" s="62">
        <f>SUM(Q$5:Q$5)</f>
        <v>0</v>
      </c>
      <c r="M41" s="62">
        <f>SUM(AK$5:AK$5)</f>
        <v>0</v>
      </c>
      <c r="N41" s="62">
        <f>'3. Finansinės prielaidos'!D30+M41</f>
        <v>0</v>
      </c>
      <c r="O41" s="62">
        <f>'3. Finansinės prielaidos'!D31</f>
        <v>0</v>
      </c>
      <c r="P41" s="62">
        <f>'3. Finansinės prielaidos'!D32</f>
        <v>0</v>
      </c>
      <c r="Q41" s="62" t="e">
        <f t="shared" si="41"/>
        <v>#VALUE!</v>
      </c>
      <c r="R41" s="62" t="e">
        <f>R40+('3. Finansinės prielaidos'!D31-'3. Finansinės prielaidos'!C31)+Q41</f>
        <v>#VALUE!</v>
      </c>
      <c r="S41" s="62" t="e" cm="1">
        <f t="array" ref="S41">SUMPRODUCT(--(2027&gt;'2. Investicijos'!$F$5:$F$5),--(2027&lt;='2. Investicijos'!$F$5:$F$5+'2. Investicijos'!$G$5:$G$5),IFERROR(('2. Investicijos'!$M$5:$M$5+IF('2. Investicijos'!$N$5:$N$5&gt;('2. Investicijos'!$H$5:$H$5*'7. Pasirinktinis scenarijus'!$C$6),'2. Investicijos'!$N$5:$N$5-('2. Investicijos'!$H$5:$H$5*'7. Pasirinktinis scenarijus'!$C$6),0)+('2. Investicijos'!$H$5:$H$5*'7. Pasirinktinis scenarijus'!$C$6))/'2. Investicijos'!$G$5:$G$5,0))+SUMPRODUCT(--(2027&gt;'2. Investicijos'!$F$5:$F$5),--(2027&lt;='2. Investicijos'!$F$5:$F$5+'2. Investicijos'!$G$5:$G$5),IFERROR(('2. Investicijos'!$M$5:$M$5+IF('2. Investicijos'!$N$5:$N$5&gt;('2. Investicijos'!$H$5:$H$5*'7. Pasirinktinis scenarijus'!$C$6),'2. Investicijos'!$N$5:$N$5-('2. Investicijos'!$H$5:$H$5*'7. Pasirinktinis scenarijus'!$C$6),0))*(1-((2027-'2. Investicijos'!$F$5:$F$5)-1)/'2. Investicijos'!$G$5:$G$5),0)*'5. 0% scenarijus'!$C$5)</f>
        <v>#VALUE!</v>
      </c>
      <c r="T41" s="62" t="e">
        <f>'3. Finansinės prielaidos'!D29+S41+G41</f>
        <v>#VALUE!</v>
      </c>
      <c r="U41" s="62" t="e">
        <f t="shared" si="42"/>
        <v>#VALUE!</v>
      </c>
      <c r="V41" s="72" t="e">
        <f t="shared" si="43"/>
        <v>#VALUE!</v>
      </c>
      <c r="W41" s="72" t="e">
        <f t="shared" si="44"/>
        <v>#VALUE!</v>
      </c>
      <c r="X41" s="57" t="e">
        <f t="shared" si="45"/>
        <v>#VALUE!</v>
      </c>
      <c r="Y41" s="57" t="e">
        <f t="shared" si="46"/>
        <v>#VALUE!</v>
      </c>
      <c r="Z41" s="57"/>
      <c r="AA41" s="57"/>
      <c r="AB41" s="57"/>
      <c r="AC41" s="57"/>
      <c r="AD41" s="57"/>
      <c r="AE41" s="57"/>
      <c r="AF41" s="57"/>
      <c r="AG41" s="57"/>
      <c r="AH41" s="57"/>
      <c r="AI41" s="57"/>
      <c r="AJ41" s="57"/>
      <c r="AK41" s="57"/>
      <c r="AL41" s="57"/>
      <c r="AM41" s="57"/>
      <c r="AN41" s="57"/>
      <c r="AO41" s="57"/>
      <c r="AP41" s="57"/>
      <c r="AQ41" s="57"/>
      <c r="AR41" s="57"/>
      <c r="AS41" s="57"/>
    </row>
    <row r="42" spans="1:45">
      <c r="A42" s="57">
        <v>1</v>
      </c>
      <c r="B42" s="57">
        <v>2028</v>
      </c>
      <c r="C42" s="62">
        <f>SUM('4. Metinis CAPEX'!H$9:H$9)</f>
        <v>0</v>
      </c>
      <c r="D42" s="62" cm="1">
        <f t="array" ref="D42">SUMPRODUCT('4. Metinis CAPEX'!H$9:H$9,IFERROR('2. Investicijos'!$N$5:$N$5/'2. Investicijos'!$H$5:$H$5,0))</f>
        <v>0</v>
      </c>
      <c r="E42" s="62" cm="1">
        <f t="array" ref="E42">SUMPRODUCT('4. Metinis CAPEX'!H$9:H$9,IFERROR(('2. Investicijos'!$I$5:$I$5+'2. Investicijos'!$J$5:$J$5+'2. Investicijos'!$K$5:$K$5+'2. Investicijos'!$L$5:$L$5)/'2. Investicijos'!$H$5:$H$5,0))</f>
        <v>0</v>
      </c>
      <c r="F42" s="62" cm="1">
        <f t="array" ref="F42">SUM('2. Investicijos'!$H$5:$H$5*'7. Pasirinktinis scenarijus'!$C$6)</f>
        <v>0</v>
      </c>
      <c r="G42" s="62" cm="1">
        <f t="array" ref="G42">IF(AND(2028&gt;=2026,2028&lt;2026+'7. Pasirinktinis scenarijus'!$C$5),SUM('2. Investicijos'!$H$5:$H$5*'7. Pasirinktinis scenarijus'!$C$6)/'7. Pasirinktinis scenarijus'!$C$5,0)</f>
        <v>0</v>
      </c>
      <c r="H42" s="62">
        <f t="shared" si="40"/>
        <v>0</v>
      </c>
      <c r="I42" s="62">
        <f>SUM(H$5:H$5)</f>
        <v>0</v>
      </c>
      <c r="J42" s="62" t="e" cm="1">
        <f t="array" ref="J42">K42+L42+MAX(0,-R41)*IFERROR(SUMPRODUCT(IF('2. Investicijos'!$N$5:$N$5&gt;('2. Investicijos'!$H$5:$H$5*'7. Pasirinktinis scenarijus'!$C$6),'2. Investicijos'!$N$5:$N$5-('2. Investicijos'!$H$5:$H$5*'7. Pasirinktinis scenarijus'!$C$6),0),'2. Investicijos'!$O$5:$O$5/100)/SUM(IF('2. Investicijos'!$N$5:$N$5&gt;('2. Investicijos'!$H$5:$H$5*'7. Pasirinktinis scenarijus'!$C$6),'2. Investicijos'!$N$5:$N$5-('2. Investicijos'!$H$5:$H$5*'7. Pasirinktinis scenarijus'!$C$6),0)),0)</f>
        <v>#VALUE!</v>
      </c>
      <c r="K42" s="62">
        <f>SUM(AB$5:AB$5)</f>
        <v>0</v>
      </c>
      <c r="L42" s="62">
        <f>SUM(R$5:R$5)</f>
        <v>0</v>
      </c>
      <c r="M42" s="62">
        <f>SUM(AL$5:AL$5)</f>
        <v>0</v>
      </c>
      <c r="N42" s="62">
        <f>'3. Finansinės prielaidos'!E30+M42</f>
        <v>0</v>
      </c>
      <c r="O42" s="62">
        <f>'3. Finansinės prielaidos'!E31</f>
        <v>0</v>
      </c>
      <c r="P42" s="62">
        <f>'3. Finansinės prielaidos'!E32</f>
        <v>0</v>
      </c>
      <c r="Q42" s="62" t="e">
        <f t="shared" si="41"/>
        <v>#VALUE!</v>
      </c>
      <c r="R42" s="62" t="e">
        <f>R41+('3. Finansinės prielaidos'!E31-'3. Finansinės prielaidos'!D31)+Q42</f>
        <v>#VALUE!</v>
      </c>
      <c r="S42" s="62" t="e" cm="1">
        <f t="array" ref="S42">SUMPRODUCT(--(2028&gt;'2. Investicijos'!$F$5:$F$5),--(2028&lt;='2. Investicijos'!$F$5:$F$5+'2. Investicijos'!$G$5:$G$5),IFERROR(('2. Investicijos'!$M$5:$M$5+IF('2. Investicijos'!$N$5:$N$5&gt;('2. Investicijos'!$H$5:$H$5*'7. Pasirinktinis scenarijus'!$C$6),'2. Investicijos'!$N$5:$N$5-('2. Investicijos'!$H$5:$H$5*'7. Pasirinktinis scenarijus'!$C$6),0)+('2. Investicijos'!$H$5:$H$5*'7. Pasirinktinis scenarijus'!$C$6))/'2. Investicijos'!$G$5:$G$5,0))+SUMPRODUCT(--(2028&gt;'2. Investicijos'!$F$5:$F$5),--(2028&lt;='2. Investicijos'!$F$5:$F$5+'2. Investicijos'!$G$5:$G$5),IFERROR(('2. Investicijos'!$M$5:$M$5+IF('2. Investicijos'!$N$5:$N$5&gt;('2. Investicijos'!$H$5:$H$5*'7. Pasirinktinis scenarijus'!$C$6),'2. Investicijos'!$N$5:$N$5-('2. Investicijos'!$H$5:$H$5*'7. Pasirinktinis scenarijus'!$C$6),0))*(1-((2028-'2. Investicijos'!$F$5:$F$5)-1)/'2. Investicijos'!$G$5:$G$5),0)*'5. 0% scenarijus'!$C$5)</f>
        <v>#VALUE!</v>
      </c>
      <c r="T42" s="62" t="e">
        <f>'3. Finansinės prielaidos'!E29+S42+G42</f>
        <v>#VALUE!</v>
      </c>
      <c r="U42" s="62" t="e">
        <f t="shared" si="42"/>
        <v>#VALUE!</v>
      </c>
      <c r="V42" s="72" t="e">
        <f t="shared" si="43"/>
        <v>#VALUE!</v>
      </c>
      <c r="W42" s="72" t="e">
        <f t="shared" si="44"/>
        <v>#VALUE!</v>
      </c>
      <c r="X42" s="57" t="e">
        <f t="shared" si="45"/>
        <v>#VALUE!</v>
      </c>
      <c r="Y42" s="57" t="e">
        <f t="shared" si="46"/>
        <v>#VALUE!</v>
      </c>
      <c r="Z42" s="57"/>
      <c r="AA42" s="57"/>
      <c r="AB42" s="57"/>
      <c r="AC42" s="57"/>
      <c r="AD42" s="57"/>
      <c r="AE42" s="57"/>
      <c r="AF42" s="57"/>
      <c r="AG42" s="57"/>
      <c r="AH42" s="57"/>
      <c r="AI42" s="57"/>
      <c r="AJ42" s="57"/>
      <c r="AK42" s="57"/>
      <c r="AL42" s="57"/>
      <c r="AM42" s="57"/>
      <c r="AN42" s="57"/>
      <c r="AO42" s="57"/>
      <c r="AP42" s="57"/>
      <c r="AQ42" s="57"/>
      <c r="AR42" s="57"/>
      <c r="AS42" s="57"/>
    </row>
    <row r="43" spans="1:45">
      <c r="A43" s="57">
        <v>1</v>
      </c>
      <c r="B43" s="57">
        <v>2029</v>
      </c>
      <c r="C43" s="62">
        <f>SUM('4. Metinis CAPEX'!I$9:I$9)</f>
        <v>0</v>
      </c>
      <c r="D43" s="62" cm="1">
        <f t="array" ref="D43">SUMPRODUCT('4. Metinis CAPEX'!I$9:I$9,IFERROR('2. Investicijos'!$N$5:$N$5/'2. Investicijos'!$H$5:$H$5,0))</f>
        <v>0</v>
      </c>
      <c r="E43" s="62" cm="1">
        <f t="array" ref="E43">SUMPRODUCT('4. Metinis CAPEX'!I$9:I$9,IFERROR(('2. Investicijos'!$I$5:$I$5+'2. Investicijos'!$J$5:$J$5+'2. Investicijos'!$K$5:$K$5+'2. Investicijos'!$L$5:$L$5)/'2. Investicijos'!$H$5:$H$5,0))</f>
        <v>0</v>
      </c>
      <c r="F43" s="62" cm="1">
        <f t="array" ref="F43">SUM('2. Investicijos'!$H$5:$H$5*'7. Pasirinktinis scenarijus'!$C$6)</f>
        <v>0</v>
      </c>
      <c r="G43" s="62" cm="1">
        <f t="array" ref="G43">IF(AND(2029&gt;=2026,2029&lt;2026+'7. Pasirinktinis scenarijus'!$C$5),SUM('2. Investicijos'!$H$5:$H$5*'7. Pasirinktinis scenarijus'!$C$6)/'7. Pasirinktinis scenarijus'!$C$5,0)</f>
        <v>0</v>
      </c>
      <c r="H43" s="62">
        <f t="shared" si="40"/>
        <v>0</v>
      </c>
      <c r="I43" s="62">
        <f>SUM(I$5:I$5)</f>
        <v>0</v>
      </c>
      <c r="J43" s="62" t="e" cm="1">
        <f t="array" ref="J43">K43+L43+MAX(0,-R42)*IFERROR(SUMPRODUCT(IF('2. Investicijos'!$N$5:$N$5&gt;('2. Investicijos'!$H$5:$H$5*'7. Pasirinktinis scenarijus'!$C$6),'2. Investicijos'!$N$5:$N$5-('2. Investicijos'!$H$5:$H$5*'7. Pasirinktinis scenarijus'!$C$6),0),'2. Investicijos'!$O$5:$O$5/100)/SUM(IF('2. Investicijos'!$N$5:$N$5&gt;('2. Investicijos'!$H$5:$H$5*'7. Pasirinktinis scenarijus'!$C$6),'2. Investicijos'!$N$5:$N$5-('2. Investicijos'!$H$5:$H$5*'7. Pasirinktinis scenarijus'!$C$6),0)),0)</f>
        <v>#VALUE!</v>
      </c>
      <c r="K43" s="62">
        <f>SUM(AC$5:AC$5)</f>
        <v>0</v>
      </c>
      <c r="L43" s="62">
        <f>SUM(S$5:S$5)</f>
        <v>0</v>
      </c>
      <c r="M43" s="62">
        <f>SUM(AM$5:AM$5)</f>
        <v>0</v>
      </c>
      <c r="N43" s="62">
        <f>'3. Finansinės prielaidos'!F30+M43</f>
        <v>0</v>
      </c>
      <c r="O43" s="62">
        <f>'3. Finansinės prielaidos'!F31</f>
        <v>0</v>
      </c>
      <c r="P43" s="62">
        <f>'3. Finansinės prielaidos'!F32</f>
        <v>0</v>
      </c>
      <c r="Q43" s="62" t="e">
        <f t="shared" si="41"/>
        <v>#VALUE!</v>
      </c>
      <c r="R43" s="62" t="e">
        <f>R42+('3. Finansinės prielaidos'!F31-'3. Finansinės prielaidos'!E31)+Q43</f>
        <v>#VALUE!</v>
      </c>
      <c r="S43" s="62" t="e" cm="1">
        <f t="array" ref="S43">SUMPRODUCT(--(2029&gt;'2. Investicijos'!$F$5:$F$5),--(2029&lt;='2. Investicijos'!$F$5:$F$5+'2. Investicijos'!$G$5:$G$5),IFERROR(('2. Investicijos'!$M$5:$M$5+IF('2. Investicijos'!$N$5:$N$5&gt;('2. Investicijos'!$H$5:$H$5*'7. Pasirinktinis scenarijus'!$C$6),'2. Investicijos'!$N$5:$N$5-('2. Investicijos'!$H$5:$H$5*'7. Pasirinktinis scenarijus'!$C$6),0)+('2. Investicijos'!$H$5:$H$5*'7. Pasirinktinis scenarijus'!$C$6))/'2. Investicijos'!$G$5:$G$5,0))+SUMPRODUCT(--(2029&gt;'2. Investicijos'!$F$5:$F$5),--(2029&lt;='2. Investicijos'!$F$5:$F$5+'2. Investicijos'!$G$5:$G$5),IFERROR(('2. Investicijos'!$M$5:$M$5+IF('2. Investicijos'!$N$5:$N$5&gt;('2. Investicijos'!$H$5:$H$5*'7. Pasirinktinis scenarijus'!$C$6),'2. Investicijos'!$N$5:$N$5-('2. Investicijos'!$H$5:$H$5*'7. Pasirinktinis scenarijus'!$C$6),0))*(1-((2029-'2. Investicijos'!$F$5:$F$5)-1)/'2. Investicijos'!$G$5:$G$5),0)*'5. 0% scenarijus'!$C$5)</f>
        <v>#VALUE!</v>
      </c>
      <c r="T43" s="62" t="e">
        <f>'3. Finansinės prielaidos'!F29+S43+G43</f>
        <v>#VALUE!</v>
      </c>
      <c r="U43" s="62" t="e">
        <f t="shared" si="42"/>
        <v>#VALUE!</v>
      </c>
      <c r="V43" s="72" t="e">
        <f t="shared" si="43"/>
        <v>#VALUE!</v>
      </c>
      <c r="W43" s="72" t="e">
        <f t="shared" si="44"/>
        <v>#VALUE!</v>
      </c>
      <c r="X43" s="57" t="e">
        <f t="shared" si="45"/>
        <v>#VALUE!</v>
      </c>
      <c r="Y43" s="57" t="e">
        <f t="shared" si="46"/>
        <v>#VALUE!</v>
      </c>
      <c r="Z43" s="57"/>
      <c r="AA43" s="57"/>
      <c r="AB43" s="57"/>
      <c r="AC43" s="57"/>
      <c r="AD43" s="57"/>
      <c r="AE43" s="57"/>
      <c r="AF43" s="57"/>
      <c r="AG43" s="57"/>
      <c r="AH43" s="57"/>
      <c r="AI43" s="57"/>
      <c r="AJ43" s="57"/>
      <c r="AK43" s="57"/>
      <c r="AL43" s="57"/>
      <c r="AM43" s="57"/>
      <c r="AN43" s="57"/>
      <c r="AO43" s="57"/>
      <c r="AP43" s="57"/>
      <c r="AQ43" s="57"/>
      <c r="AR43" s="57"/>
      <c r="AS43" s="57"/>
    </row>
    <row r="44" spans="1:45">
      <c r="A44" s="57">
        <v>1</v>
      </c>
      <c r="B44" s="57">
        <v>2030</v>
      </c>
      <c r="C44" s="62">
        <f>SUM('4. Metinis CAPEX'!J$9:J$9)</f>
        <v>0</v>
      </c>
      <c r="D44" s="62" cm="1">
        <f t="array" ref="D44">SUMPRODUCT('4. Metinis CAPEX'!J$9:J$9,IFERROR('2. Investicijos'!$N$5:$N$5/'2. Investicijos'!$H$5:$H$5,0))</f>
        <v>0</v>
      </c>
      <c r="E44" s="62" cm="1">
        <f t="array" ref="E44">SUMPRODUCT('4. Metinis CAPEX'!J$9:J$9,IFERROR(('2. Investicijos'!$I$5:$I$5+'2. Investicijos'!$J$5:$J$5+'2. Investicijos'!$K$5:$K$5+'2. Investicijos'!$L$5:$L$5)/'2. Investicijos'!$H$5:$H$5,0))</f>
        <v>0</v>
      </c>
      <c r="F44" s="62" cm="1">
        <f t="array" ref="F44">SUM('2. Investicijos'!$H$5:$H$5*'7. Pasirinktinis scenarijus'!$C$6)</f>
        <v>0</v>
      </c>
      <c r="G44" s="62" cm="1">
        <f t="array" ref="G44">IF(AND(2030&gt;=2026,2030&lt;2026+'7. Pasirinktinis scenarijus'!$C$5),SUM('2. Investicijos'!$H$5:$H$5*'7. Pasirinktinis scenarijus'!$C$6)/'7. Pasirinktinis scenarijus'!$C$5,0)</f>
        <v>0</v>
      </c>
      <c r="H44" s="62">
        <f t="shared" si="40"/>
        <v>0</v>
      </c>
      <c r="I44" s="62">
        <f>SUM(J$5:J$5)</f>
        <v>0</v>
      </c>
      <c r="J44" s="62" t="e" cm="1">
        <f t="array" ref="J44">K44+L44+MAX(0,-R43)*IFERROR(SUMPRODUCT(IF('2. Investicijos'!$N$5:$N$5&gt;('2. Investicijos'!$H$5:$H$5*'7. Pasirinktinis scenarijus'!$C$6),'2. Investicijos'!$N$5:$N$5-('2. Investicijos'!$H$5:$H$5*'7. Pasirinktinis scenarijus'!$C$6),0),'2. Investicijos'!$O$5:$O$5/100)/SUM(IF('2. Investicijos'!$N$5:$N$5&gt;('2. Investicijos'!$H$5:$H$5*'7. Pasirinktinis scenarijus'!$C$6),'2. Investicijos'!$N$5:$N$5-('2. Investicijos'!$H$5:$H$5*'7. Pasirinktinis scenarijus'!$C$6),0)),0)</f>
        <v>#VALUE!</v>
      </c>
      <c r="K44" s="62">
        <f>SUM(AD$5:AD$5)</f>
        <v>0</v>
      </c>
      <c r="L44" s="62">
        <f>SUM(T$5:T$5)</f>
        <v>0</v>
      </c>
      <c r="M44" s="62">
        <f>SUM(AN$5:AN$5)</f>
        <v>0</v>
      </c>
      <c r="N44" s="62">
        <f>'3. Finansinės prielaidos'!G30+M44</f>
        <v>0</v>
      </c>
      <c r="O44" s="62">
        <f>'3. Finansinės prielaidos'!G31</f>
        <v>0</v>
      </c>
      <c r="P44" s="62">
        <f>'3. Finansinės prielaidos'!G32</f>
        <v>0</v>
      </c>
      <c r="Q44" s="62" t="e">
        <f t="shared" si="41"/>
        <v>#VALUE!</v>
      </c>
      <c r="R44" s="62" t="e">
        <f>R43+('3. Finansinės prielaidos'!G31-'3. Finansinės prielaidos'!F31)+Q44</f>
        <v>#VALUE!</v>
      </c>
      <c r="S44" s="62" t="e" cm="1">
        <f t="array" ref="S44">SUMPRODUCT(--(2030&gt;'2. Investicijos'!$F$5:$F$5),--(2030&lt;='2. Investicijos'!$F$5:$F$5+'2. Investicijos'!$G$5:$G$5),IFERROR(('2. Investicijos'!$M$5:$M$5+IF('2. Investicijos'!$N$5:$N$5&gt;('2. Investicijos'!$H$5:$H$5*'7. Pasirinktinis scenarijus'!$C$6),'2. Investicijos'!$N$5:$N$5-('2. Investicijos'!$H$5:$H$5*'7. Pasirinktinis scenarijus'!$C$6),0)+('2. Investicijos'!$H$5:$H$5*'7. Pasirinktinis scenarijus'!$C$6))/'2. Investicijos'!$G$5:$G$5,0))+SUMPRODUCT(--(2030&gt;'2. Investicijos'!$F$5:$F$5),--(2030&lt;='2. Investicijos'!$F$5:$F$5+'2. Investicijos'!$G$5:$G$5),IFERROR(('2. Investicijos'!$M$5:$M$5+IF('2. Investicijos'!$N$5:$N$5&gt;('2. Investicijos'!$H$5:$H$5*'7. Pasirinktinis scenarijus'!$C$6),'2. Investicijos'!$N$5:$N$5-('2. Investicijos'!$H$5:$H$5*'7. Pasirinktinis scenarijus'!$C$6),0))*(1-((2030-'2. Investicijos'!$F$5:$F$5)-1)/'2. Investicijos'!$G$5:$G$5),0)*'5. 0% scenarijus'!$C$5)</f>
        <v>#VALUE!</v>
      </c>
      <c r="T44" s="62" t="e">
        <f>'3. Finansinės prielaidos'!G29+S44+G44</f>
        <v>#VALUE!</v>
      </c>
      <c r="U44" s="62" t="e">
        <f t="shared" si="42"/>
        <v>#VALUE!</v>
      </c>
      <c r="V44" s="72" t="e">
        <f t="shared" si="43"/>
        <v>#VALUE!</v>
      </c>
      <c r="W44" s="72" t="e">
        <f t="shared" si="44"/>
        <v>#VALUE!</v>
      </c>
      <c r="X44" s="57" t="e">
        <f t="shared" si="45"/>
        <v>#VALUE!</v>
      </c>
      <c r="Y44" s="57" t="e">
        <f t="shared" si="46"/>
        <v>#VALUE!</v>
      </c>
      <c r="Z44" s="57"/>
      <c r="AA44" s="57"/>
      <c r="AB44" s="57"/>
      <c r="AC44" s="57"/>
      <c r="AD44" s="57"/>
      <c r="AE44" s="57"/>
      <c r="AF44" s="57"/>
      <c r="AG44" s="57"/>
      <c r="AH44" s="57"/>
      <c r="AI44" s="57"/>
      <c r="AJ44" s="57"/>
      <c r="AK44" s="57"/>
      <c r="AL44" s="57"/>
      <c r="AM44" s="57"/>
      <c r="AN44" s="57"/>
      <c r="AO44" s="57"/>
      <c r="AP44" s="57"/>
      <c r="AQ44" s="57"/>
      <c r="AR44" s="57"/>
      <c r="AS44" s="57"/>
    </row>
    <row r="45" spans="1:45">
      <c r="A45" s="57">
        <v>1</v>
      </c>
      <c r="B45" s="57">
        <v>2031</v>
      </c>
      <c r="C45" s="62">
        <f>SUM('4. Metinis CAPEX'!K$9:K$9)</f>
        <v>0</v>
      </c>
      <c r="D45" s="62" cm="1">
        <f t="array" ref="D45">SUMPRODUCT('4. Metinis CAPEX'!K$9:K$9,IFERROR('2. Investicijos'!$N$5:$N$5/'2. Investicijos'!$H$5:$H$5,0))</f>
        <v>0</v>
      </c>
      <c r="E45" s="62" cm="1">
        <f t="array" ref="E45">SUMPRODUCT('4. Metinis CAPEX'!K$9:K$9,IFERROR(('2. Investicijos'!$I$5:$I$5+'2. Investicijos'!$J$5:$J$5+'2. Investicijos'!$K$5:$K$5+'2. Investicijos'!$L$5:$L$5)/'2. Investicijos'!$H$5:$H$5,0))</f>
        <v>0</v>
      </c>
      <c r="F45" s="62" cm="1">
        <f t="array" ref="F45">SUM('2. Investicijos'!$H$5:$H$5*'7. Pasirinktinis scenarijus'!$C$6)</f>
        <v>0</v>
      </c>
      <c r="G45" s="62" cm="1">
        <f t="array" ref="G45">IF(AND(2031&gt;=2026,2031&lt;2026+'7. Pasirinktinis scenarijus'!$C$5),SUM('2. Investicijos'!$H$5:$H$5*'7. Pasirinktinis scenarijus'!$C$6)/'7. Pasirinktinis scenarijus'!$C$5,0)</f>
        <v>0</v>
      </c>
      <c r="H45" s="62">
        <f t="shared" si="40"/>
        <v>0</v>
      </c>
      <c r="I45" s="62">
        <f>SUM(K$5:K$5)</f>
        <v>0</v>
      </c>
      <c r="J45" s="62" t="e" cm="1">
        <f t="array" ref="J45">K45+L45+MAX(0,-R44)*IFERROR(SUMPRODUCT(IF('2. Investicijos'!$N$5:$N$5&gt;('2. Investicijos'!$H$5:$H$5*'7. Pasirinktinis scenarijus'!$C$6),'2. Investicijos'!$N$5:$N$5-('2. Investicijos'!$H$5:$H$5*'7. Pasirinktinis scenarijus'!$C$6),0),'2. Investicijos'!$O$5:$O$5/100)/SUM(IF('2. Investicijos'!$N$5:$N$5&gt;('2. Investicijos'!$H$5:$H$5*'7. Pasirinktinis scenarijus'!$C$6),'2. Investicijos'!$N$5:$N$5-('2. Investicijos'!$H$5:$H$5*'7. Pasirinktinis scenarijus'!$C$6),0)),0)</f>
        <v>#VALUE!</v>
      </c>
      <c r="K45" s="62">
        <f>SUM(AE$5:AE$5)</f>
        <v>0</v>
      </c>
      <c r="L45" s="62">
        <f>SUM(U$5:U$5)</f>
        <v>0</v>
      </c>
      <c r="M45" s="62">
        <f>SUM(AO$5:AO$5)</f>
        <v>0</v>
      </c>
      <c r="N45" s="62">
        <f>'3. Finansinės prielaidos'!H30+M45</f>
        <v>0</v>
      </c>
      <c r="O45" s="62">
        <f>'3. Finansinės prielaidos'!H31</f>
        <v>0</v>
      </c>
      <c r="P45" s="62">
        <f>'3. Finansinės prielaidos'!H32</f>
        <v>0</v>
      </c>
      <c r="Q45" s="62" t="e">
        <f t="shared" si="41"/>
        <v>#VALUE!</v>
      </c>
      <c r="R45" s="62" t="e">
        <f>R44+('3. Finansinės prielaidos'!H31-'3. Finansinės prielaidos'!G31)+Q45</f>
        <v>#VALUE!</v>
      </c>
      <c r="S45" s="62" t="e" cm="1">
        <f t="array" ref="S45">SUMPRODUCT(--(2031&gt;'2. Investicijos'!$F$5:$F$5),--(2031&lt;='2. Investicijos'!$F$5:$F$5+'2. Investicijos'!$G$5:$G$5),IFERROR(('2. Investicijos'!$M$5:$M$5+IF('2. Investicijos'!$N$5:$N$5&gt;('2. Investicijos'!$H$5:$H$5*'7. Pasirinktinis scenarijus'!$C$6),'2. Investicijos'!$N$5:$N$5-('2. Investicijos'!$H$5:$H$5*'7. Pasirinktinis scenarijus'!$C$6),0)+('2. Investicijos'!$H$5:$H$5*'7. Pasirinktinis scenarijus'!$C$6))/'2. Investicijos'!$G$5:$G$5,0))+SUMPRODUCT(--(2031&gt;'2. Investicijos'!$F$5:$F$5),--(2031&lt;='2. Investicijos'!$F$5:$F$5+'2. Investicijos'!$G$5:$G$5),IFERROR(('2. Investicijos'!$M$5:$M$5+IF('2. Investicijos'!$N$5:$N$5&gt;('2. Investicijos'!$H$5:$H$5*'7. Pasirinktinis scenarijus'!$C$6),'2. Investicijos'!$N$5:$N$5-('2. Investicijos'!$H$5:$H$5*'7. Pasirinktinis scenarijus'!$C$6),0))*(1-((2031-'2. Investicijos'!$F$5:$F$5)-1)/'2. Investicijos'!$G$5:$G$5),0)*'5. 0% scenarijus'!$C$5)</f>
        <v>#VALUE!</v>
      </c>
      <c r="T45" s="62" t="e">
        <f>'3. Finansinės prielaidos'!H29+S45+G45</f>
        <v>#VALUE!</v>
      </c>
      <c r="U45" s="62" t="e">
        <f t="shared" si="42"/>
        <v>#VALUE!</v>
      </c>
      <c r="V45" s="72" t="e">
        <f t="shared" si="43"/>
        <v>#VALUE!</v>
      </c>
      <c r="W45" s="72" t="e">
        <f t="shared" si="44"/>
        <v>#VALUE!</v>
      </c>
      <c r="X45" s="57" t="e">
        <f t="shared" si="45"/>
        <v>#VALUE!</v>
      </c>
      <c r="Y45" s="57" t="e">
        <f t="shared" si="46"/>
        <v>#VALUE!</v>
      </c>
      <c r="Z45" s="57"/>
      <c r="AA45" s="57"/>
      <c r="AB45" s="57"/>
      <c r="AC45" s="57"/>
      <c r="AD45" s="57"/>
      <c r="AE45" s="57"/>
      <c r="AF45" s="57"/>
      <c r="AG45" s="57"/>
      <c r="AH45" s="57"/>
      <c r="AI45" s="57"/>
      <c r="AJ45" s="57"/>
      <c r="AK45" s="57"/>
      <c r="AL45" s="57"/>
      <c r="AM45" s="57"/>
      <c r="AN45" s="57"/>
      <c r="AO45" s="57"/>
      <c r="AP45" s="57"/>
      <c r="AQ45" s="57"/>
      <c r="AR45" s="57"/>
      <c r="AS45" s="57"/>
    </row>
    <row r="46" spans="1:45">
      <c r="A46" s="57">
        <v>1</v>
      </c>
      <c r="B46" s="57">
        <v>2032</v>
      </c>
      <c r="C46" s="62">
        <f>SUM('4. Metinis CAPEX'!L$9:L$9)</f>
        <v>0</v>
      </c>
      <c r="D46" s="62" cm="1">
        <f t="array" ref="D46">SUMPRODUCT('4. Metinis CAPEX'!L$9:L$9,IFERROR('2. Investicijos'!$N$5:$N$5/'2. Investicijos'!$H$5:$H$5,0))</f>
        <v>0</v>
      </c>
      <c r="E46" s="62" cm="1">
        <f t="array" ref="E46">SUMPRODUCT('4. Metinis CAPEX'!L$9:L$9,IFERROR(('2. Investicijos'!$I$5:$I$5+'2. Investicijos'!$J$5:$J$5+'2. Investicijos'!$K$5:$K$5+'2. Investicijos'!$L$5:$L$5)/'2. Investicijos'!$H$5:$H$5,0))</f>
        <v>0</v>
      </c>
      <c r="F46" s="62" cm="1">
        <f t="array" ref="F46">SUM('2. Investicijos'!$H$5:$H$5*'7. Pasirinktinis scenarijus'!$C$6)</f>
        <v>0</v>
      </c>
      <c r="G46" s="62" cm="1">
        <f t="array" ref="G46">IF(AND(2032&gt;=2026,2032&lt;2026+'7. Pasirinktinis scenarijus'!$C$5),SUM('2. Investicijos'!$H$5:$H$5*'7. Pasirinktinis scenarijus'!$C$6)/'7. Pasirinktinis scenarijus'!$C$5,0)</f>
        <v>0</v>
      </c>
      <c r="H46" s="62">
        <f t="shared" si="40"/>
        <v>0</v>
      </c>
      <c r="I46" s="62">
        <f>SUM(L$5:L$5)</f>
        <v>0</v>
      </c>
      <c r="J46" s="62" t="e" cm="1">
        <f t="array" ref="J46">K46+L46+MAX(0,-R45)*IFERROR(SUMPRODUCT(IF('2. Investicijos'!$N$5:$N$5&gt;('2. Investicijos'!$H$5:$H$5*'7. Pasirinktinis scenarijus'!$C$6),'2. Investicijos'!$N$5:$N$5-('2. Investicijos'!$H$5:$H$5*'7. Pasirinktinis scenarijus'!$C$6),0),'2. Investicijos'!$O$5:$O$5/100)/SUM(IF('2. Investicijos'!$N$5:$N$5&gt;('2. Investicijos'!$H$5:$H$5*'7. Pasirinktinis scenarijus'!$C$6),'2. Investicijos'!$N$5:$N$5-('2. Investicijos'!$H$5:$H$5*'7. Pasirinktinis scenarijus'!$C$6),0)),0)</f>
        <v>#VALUE!</v>
      </c>
      <c r="K46" s="62">
        <f>SUM(AF$5:AF$5)</f>
        <v>0</v>
      </c>
      <c r="L46" s="62">
        <f>SUM(V$5:V$5)</f>
        <v>0</v>
      </c>
      <c r="M46" s="62">
        <f>SUM(AP$5:AP$5)</f>
        <v>0</v>
      </c>
      <c r="N46" s="62">
        <f>'3. Finansinės prielaidos'!I30+M46</f>
        <v>0</v>
      </c>
      <c r="O46" s="62">
        <f>'3. Finansinės prielaidos'!I31</f>
        <v>0</v>
      </c>
      <c r="P46" s="62">
        <f>'3. Finansinės prielaidos'!I32</f>
        <v>0</v>
      </c>
      <c r="Q46" s="62" t="e">
        <f t="shared" si="41"/>
        <v>#VALUE!</v>
      </c>
      <c r="R46" s="62" t="e">
        <f>R45+('3. Finansinės prielaidos'!I31-'3. Finansinės prielaidos'!H31)+Q46</f>
        <v>#VALUE!</v>
      </c>
      <c r="S46" s="62" t="e" cm="1">
        <f t="array" ref="S46">SUMPRODUCT(--(2032&gt;'2. Investicijos'!$F$5:$F$5),--(2032&lt;='2. Investicijos'!$F$5:$F$5+'2. Investicijos'!$G$5:$G$5),IFERROR(('2. Investicijos'!$M$5:$M$5+IF('2. Investicijos'!$N$5:$N$5&gt;('2. Investicijos'!$H$5:$H$5*'7. Pasirinktinis scenarijus'!$C$6),'2. Investicijos'!$N$5:$N$5-('2. Investicijos'!$H$5:$H$5*'7. Pasirinktinis scenarijus'!$C$6),0)+('2. Investicijos'!$H$5:$H$5*'7. Pasirinktinis scenarijus'!$C$6))/'2. Investicijos'!$G$5:$G$5,0))+SUMPRODUCT(--(2032&gt;'2. Investicijos'!$F$5:$F$5),--(2032&lt;='2. Investicijos'!$F$5:$F$5+'2. Investicijos'!$G$5:$G$5),IFERROR(('2. Investicijos'!$M$5:$M$5+IF('2. Investicijos'!$N$5:$N$5&gt;('2. Investicijos'!$H$5:$H$5*'7. Pasirinktinis scenarijus'!$C$6),'2. Investicijos'!$N$5:$N$5-('2. Investicijos'!$H$5:$H$5*'7. Pasirinktinis scenarijus'!$C$6),0))*(1-((2032-'2. Investicijos'!$F$5:$F$5)-1)/'2. Investicijos'!$G$5:$G$5),0)*'5. 0% scenarijus'!$C$5)</f>
        <v>#VALUE!</v>
      </c>
      <c r="T46" s="62" t="e">
        <f>'3. Finansinės prielaidos'!I29+S46+G46</f>
        <v>#VALUE!</v>
      </c>
      <c r="U46" s="62" t="e">
        <f t="shared" si="42"/>
        <v>#VALUE!</v>
      </c>
      <c r="V46" s="72" t="e">
        <f t="shared" si="43"/>
        <v>#VALUE!</v>
      </c>
      <c r="W46" s="72" t="e">
        <f t="shared" si="44"/>
        <v>#VALUE!</v>
      </c>
      <c r="X46" s="57" t="e">
        <f t="shared" si="45"/>
        <v>#VALUE!</v>
      </c>
      <c r="Y46" s="57" t="e">
        <f t="shared" si="46"/>
        <v>#VALUE!</v>
      </c>
      <c r="Z46" s="57"/>
      <c r="AA46" s="57"/>
      <c r="AB46" s="57"/>
      <c r="AC46" s="57"/>
      <c r="AD46" s="57"/>
      <c r="AE46" s="57"/>
      <c r="AF46" s="57"/>
      <c r="AG46" s="57"/>
      <c r="AH46" s="57"/>
      <c r="AI46" s="57"/>
      <c r="AJ46" s="57"/>
      <c r="AK46" s="57"/>
      <c r="AL46" s="57"/>
      <c r="AM46" s="57"/>
      <c r="AN46" s="57"/>
      <c r="AO46" s="57"/>
      <c r="AP46" s="57"/>
      <c r="AQ46" s="57"/>
      <c r="AR46" s="57"/>
      <c r="AS46" s="57"/>
    </row>
    <row r="47" spans="1:45">
      <c r="A47" s="57">
        <v>1</v>
      </c>
      <c r="B47" s="57">
        <v>2033</v>
      </c>
      <c r="C47" s="62">
        <f>SUM('4. Metinis CAPEX'!M$9:M$9)</f>
        <v>0</v>
      </c>
      <c r="D47" s="62" cm="1">
        <f t="array" ref="D47">SUMPRODUCT('4. Metinis CAPEX'!M$9:M$9,IFERROR('2. Investicijos'!$N$5:$N$5/'2. Investicijos'!$H$5:$H$5,0))</f>
        <v>0</v>
      </c>
      <c r="E47" s="62" cm="1">
        <f t="array" ref="E47">SUMPRODUCT('4. Metinis CAPEX'!M$9:M$9,IFERROR(('2. Investicijos'!$I$5:$I$5+'2. Investicijos'!$J$5:$J$5+'2. Investicijos'!$K$5:$K$5+'2. Investicijos'!$L$5:$L$5)/'2. Investicijos'!$H$5:$H$5,0))</f>
        <v>0</v>
      </c>
      <c r="F47" s="62" cm="1">
        <f t="array" ref="F47">SUM('2. Investicijos'!$H$5:$H$5*'7. Pasirinktinis scenarijus'!$C$6)</f>
        <v>0</v>
      </c>
      <c r="G47" s="62" cm="1">
        <f t="array" ref="G47">IF(AND(2033&gt;=2026,2033&lt;2026+'7. Pasirinktinis scenarijus'!$C$5),SUM('2. Investicijos'!$H$5:$H$5*'7. Pasirinktinis scenarijus'!$C$6)/'7. Pasirinktinis scenarijus'!$C$5,0)</f>
        <v>0</v>
      </c>
      <c r="H47" s="62">
        <f t="shared" si="40"/>
        <v>0</v>
      </c>
      <c r="I47" s="62">
        <f>SUM(M$5:M$5)</f>
        <v>0</v>
      </c>
      <c r="J47" s="62" t="e" cm="1">
        <f t="array" ref="J47">K47+L47+MAX(0,-R46)*IFERROR(SUMPRODUCT(IF('2. Investicijos'!$N$5:$N$5&gt;('2. Investicijos'!$H$5:$H$5*'7. Pasirinktinis scenarijus'!$C$6),'2. Investicijos'!$N$5:$N$5-('2. Investicijos'!$H$5:$H$5*'7. Pasirinktinis scenarijus'!$C$6),0),'2. Investicijos'!$O$5:$O$5/100)/SUM(IF('2. Investicijos'!$N$5:$N$5&gt;('2. Investicijos'!$H$5:$H$5*'7. Pasirinktinis scenarijus'!$C$6),'2. Investicijos'!$N$5:$N$5-('2. Investicijos'!$H$5:$H$5*'7. Pasirinktinis scenarijus'!$C$6),0)),0)</f>
        <v>#VALUE!</v>
      </c>
      <c r="K47" s="62">
        <f>SUM(AG$5:AG$5)</f>
        <v>0</v>
      </c>
      <c r="L47" s="62">
        <f>SUM(W$5:W$5)</f>
        <v>0</v>
      </c>
      <c r="M47" s="62">
        <f>SUM(AQ$5:AQ$5)</f>
        <v>0</v>
      </c>
      <c r="N47" s="62">
        <f>'3. Finansinės prielaidos'!J30+M47</f>
        <v>0</v>
      </c>
      <c r="O47" s="62">
        <f>'3. Finansinės prielaidos'!J31</f>
        <v>0</v>
      </c>
      <c r="P47" s="62">
        <f>'3. Finansinės prielaidos'!J32</f>
        <v>0</v>
      </c>
      <c r="Q47" s="62" t="e">
        <f t="shared" si="41"/>
        <v>#VALUE!</v>
      </c>
      <c r="R47" s="62" t="e">
        <f>R46+('3. Finansinės prielaidos'!J31-'3. Finansinės prielaidos'!I31)+Q47</f>
        <v>#VALUE!</v>
      </c>
      <c r="S47" s="62" t="e" cm="1">
        <f t="array" ref="S47">SUMPRODUCT(--(2033&gt;'2. Investicijos'!$F$5:$F$5),--(2033&lt;='2. Investicijos'!$F$5:$F$5+'2. Investicijos'!$G$5:$G$5),IFERROR(('2. Investicijos'!$M$5:$M$5+IF('2. Investicijos'!$N$5:$N$5&gt;('2. Investicijos'!$H$5:$H$5*'7. Pasirinktinis scenarijus'!$C$6),'2. Investicijos'!$N$5:$N$5-('2. Investicijos'!$H$5:$H$5*'7. Pasirinktinis scenarijus'!$C$6),0)+('2. Investicijos'!$H$5:$H$5*'7. Pasirinktinis scenarijus'!$C$6))/'2. Investicijos'!$G$5:$G$5,0))+SUMPRODUCT(--(2033&gt;'2. Investicijos'!$F$5:$F$5),--(2033&lt;='2. Investicijos'!$F$5:$F$5+'2. Investicijos'!$G$5:$G$5),IFERROR(('2. Investicijos'!$M$5:$M$5+IF('2. Investicijos'!$N$5:$N$5&gt;('2. Investicijos'!$H$5:$H$5*'7. Pasirinktinis scenarijus'!$C$6),'2. Investicijos'!$N$5:$N$5-('2. Investicijos'!$H$5:$H$5*'7. Pasirinktinis scenarijus'!$C$6),0))*(1-((2033-'2. Investicijos'!$F$5:$F$5)-1)/'2. Investicijos'!$G$5:$G$5),0)*'5. 0% scenarijus'!$C$5)</f>
        <v>#VALUE!</v>
      </c>
      <c r="T47" s="62" t="e">
        <f>'3. Finansinės prielaidos'!J29+S47+G47</f>
        <v>#VALUE!</v>
      </c>
      <c r="U47" s="62" t="e">
        <f t="shared" si="42"/>
        <v>#VALUE!</v>
      </c>
      <c r="V47" s="72" t="e">
        <f t="shared" si="43"/>
        <v>#VALUE!</v>
      </c>
      <c r="W47" s="72" t="e">
        <f t="shared" si="44"/>
        <v>#VALUE!</v>
      </c>
      <c r="X47" s="57" t="e">
        <f t="shared" si="45"/>
        <v>#VALUE!</v>
      </c>
      <c r="Y47" s="57" t="e">
        <f t="shared" si="46"/>
        <v>#VALUE!</v>
      </c>
      <c r="Z47" s="57"/>
      <c r="AA47" s="57"/>
      <c r="AB47" s="57"/>
      <c r="AC47" s="57"/>
      <c r="AD47" s="57"/>
      <c r="AE47" s="57"/>
      <c r="AF47" s="57"/>
      <c r="AG47" s="57"/>
      <c r="AH47" s="57"/>
      <c r="AI47" s="57"/>
      <c r="AJ47" s="57"/>
      <c r="AK47" s="57"/>
      <c r="AL47" s="57"/>
      <c r="AM47" s="57"/>
      <c r="AN47" s="57"/>
      <c r="AO47" s="57"/>
      <c r="AP47" s="57"/>
      <c r="AQ47" s="57"/>
      <c r="AR47" s="57"/>
      <c r="AS47" s="57"/>
    </row>
    <row r="48" spans="1:45">
      <c r="A48" s="57">
        <v>1</v>
      </c>
      <c r="B48" s="57">
        <v>2034</v>
      </c>
      <c r="C48" s="62">
        <f>SUM('4. Metinis CAPEX'!N$9:N$9)</f>
        <v>0</v>
      </c>
      <c r="D48" s="62" cm="1">
        <f t="array" ref="D48">SUMPRODUCT('4. Metinis CAPEX'!N$9:N$9,IFERROR('2. Investicijos'!$N$5:$N$5/'2. Investicijos'!$H$5:$H$5,0))</f>
        <v>0</v>
      </c>
      <c r="E48" s="62" cm="1">
        <f t="array" ref="E48">SUMPRODUCT('4. Metinis CAPEX'!N$9:N$9,IFERROR(('2. Investicijos'!$I$5:$I$5+'2. Investicijos'!$J$5:$J$5+'2. Investicijos'!$K$5:$K$5+'2. Investicijos'!$L$5:$L$5)/'2. Investicijos'!$H$5:$H$5,0))</f>
        <v>0</v>
      </c>
      <c r="F48" s="62" cm="1">
        <f t="array" ref="F48">SUM('2. Investicijos'!$H$5:$H$5*'7. Pasirinktinis scenarijus'!$C$6)</f>
        <v>0</v>
      </c>
      <c r="G48" s="62" cm="1">
        <f t="array" ref="G48">IF(AND(2034&gt;=2026,2034&lt;2026+'7. Pasirinktinis scenarijus'!$C$5),SUM('2. Investicijos'!$H$5:$H$5*'7. Pasirinktinis scenarijus'!$C$6)/'7. Pasirinktinis scenarijus'!$C$5,0)</f>
        <v>0</v>
      </c>
      <c r="H48" s="62">
        <f t="shared" si="40"/>
        <v>0</v>
      </c>
      <c r="I48" s="62">
        <f>SUM(N$5:N$5)</f>
        <v>0</v>
      </c>
      <c r="J48" s="62" t="e" cm="1">
        <f t="array" ref="J48">K48+L48+MAX(0,-R47)*IFERROR(SUMPRODUCT(IF('2. Investicijos'!$N$5:$N$5&gt;('2. Investicijos'!$H$5:$H$5*'7. Pasirinktinis scenarijus'!$C$6),'2. Investicijos'!$N$5:$N$5-('2. Investicijos'!$H$5:$H$5*'7. Pasirinktinis scenarijus'!$C$6),0),'2. Investicijos'!$O$5:$O$5/100)/SUM(IF('2. Investicijos'!$N$5:$N$5&gt;('2. Investicijos'!$H$5:$H$5*'7. Pasirinktinis scenarijus'!$C$6),'2. Investicijos'!$N$5:$N$5-('2. Investicijos'!$H$5:$H$5*'7. Pasirinktinis scenarijus'!$C$6),0)),0)</f>
        <v>#VALUE!</v>
      </c>
      <c r="K48" s="62">
        <f>SUM(AH$5:AH$5)</f>
        <v>0</v>
      </c>
      <c r="L48" s="62">
        <f>SUM(X$5:X$5)</f>
        <v>0</v>
      </c>
      <c r="M48" s="62">
        <f>SUM(AR$5:AR$5)</f>
        <v>0</v>
      </c>
      <c r="N48" s="62">
        <f>'3. Finansinės prielaidos'!K30+M48</f>
        <v>0</v>
      </c>
      <c r="O48" s="62">
        <f>'3. Finansinės prielaidos'!K31</f>
        <v>0</v>
      </c>
      <c r="P48" s="62">
        <f>'3. Finansinės prielaidos'!K32</f>
        <v>0</v>
      </c>
      <c r="Q48" s="62" t="e">
        <f t="shared" si="41"/>
        <v>#VALUE!</v>
      </c>
      <c r="R48" s="62" t="e">
        <f>R47+('3. Finansinės prielaidos'!K31-'3. Finansinės prielaidos'!J31)+Q48</f>
        <v>#VALUE!</v>
      </c>
      <c r="S48" s="62" t="e" cm="1">
        <f t="array" ref="S48">SUMPRODUCT(--(2034&gt;'2. Investicijos'!$F$5:$F$5),--(2034&lt;='2. Investicijos'!$F$5:$F$5+'2. Investicijos'!$G$5:$G$5),IFERROR(('2. Investicijos'!$M$5:$M$5+IF('2. Investicijos'!$N$5:$N$5&gt;('2. Investicijos'!$H$5:$H$5*'7. Pasirinktinis scenarijus'!$C$6),'2. Investicijos'!$N$5:$N$5-('2. Investicijos'!$H$5:$H$5*'7. Pasirinktinis scenarijus'!$C$6),0)+('2. Investicijos'!$H$5:$H$5*'7. Pasirinktinis scenarijus'!$C$6))/'2. Investicijos'!$G$5:$G$5,0))+SUMPRODUCT(--(2034&gt;'2. Investicijos'!$F$5:$F$5),--(2034&lt;='2. Investicijos'!$F$5:$F$5+'2. Investicijos'!$G$5:$G$5),IFERROR(('2. Investicijos'!$M$5:$M$5+IF('2. Investicijos'!$N$5:$N$5&gt;('2. Investicijos'!$H$5:$H$5*'7. Pasirinktinis scenarijus'!$C$6),'2. Investicijos'!$N$5:$N$5-('2. Investicijos'!$H$5:$H$5*'7. Pasirinktinis scenarijus'!$C$6),0))*(1-((2034-'2. Investicijos'!$F$5:$F$5)-1)/'2. Investicijos'!$G$5:$G$5),0)*'5. 0% scenarijus'!$C$5)</f>
        <v>#VALUE!</v>
      </c>
      <c r="T48" s="62" t="e">
        <f>'3. Finansinės prielaidos'!K29+S48+G48</f>
        <v>#VALUE!</v>
      </c>
      <c r="U48" s="62" t="e">
        <f t="shared" si="42"/>
        <v>#VALUE!</v>
      </c>
      <c r="V48" s="72" t="e">
        <f t="shared" si="43"/>
        <v>#VALUE!</v>
      </c>
      <c r="W48" s="72" t="e">
        <f t="shared" si="44"/>
        <v>#VALUE!</v>
      </c>
      <c r="X48" s="57" t="e">
        <f t="shared" si="45"/>
        <v>#VALUE!</v>
      </c>
      <c r="Y48" s="57" t="e">
        <f t="shared" si="46"/>
        <v>#VALUE!</v>
      </c>
      <c r="Z48" s="57"/>
      <c r="AA48" s="57"/>
      <c r="AB48" s="57"/>
      <c r="AC48" s="57"/>
      <c r="AD48" s="57"/>
      <c r="AE48" s="57"/>
      <c r="AF48" s="57"/>
      <c r="AG48" s="57"/>
      <c r="AH48" s="57"/>
      <c r="AI48" s="57"/>
      <c r="AJ48" s="57"/>
      <c r="AK48" s="57"/>
      <c r="AL48" s="57"/>
      <c r="AM48" s="57"/>
      <c r="AN48" s="57"/>
      <c r="AO48" s="57"/>
      <c r="AP48" s="57"/>
      <c r="AQ48" s="57"/>
      <c r="AR48" s="57"/>
      <c r="AS48" s="57"/>
    </row>
    <row r="49" spans="1:45">
      <c r="A49" s="57">
        <v>1</v>
      </c>
      <c r="B49" s="57">
        <v>2035</v>
      </c>
      <c r="C49" s="62">
        <f>SUM('4. Metinis CAPEX'!O$9:O$9)</f>
        <v>0</v>
      </c>
      <c r="D49" s="62" cm="1">
        <f t="array" ref="D49">SUMPRODUCT('4. Metinis CAPEX'!O$9:O$9,IFERROR('2. Investicijos'!$N$5:$N$5/'2. Investicijos'!$H$5:$H$5,0))</f>
        <v>0</v>
      </c>
      <c r="E49" s="62" cm="1">
        <f t="array" ref="E49">SUMPRODUCT('4. Metinis CAPEX'!O$9:O$9,IFERROR(('2. Investicijos'!$I$5:$I$5+'2. Investicijos'!$J$5:$J$5+'2. Investicijos'!$K$5:$K$5+'2. Investicijos'!$L$5:$L$5)/'2. Investicijos'!$H$5:$H$5,0))</f>
        <v>0</v>
      </c>
      <c r="F49" s="62" cm="1">
        <f t="array" ref="F49">SUM('2. Investicijos'!$H$5:$H$5*'7. Pasirinktinis scenarijus'!$C$6)</f>
        <v>0</v>
      </c>
      <c r="G49" s="62" cm="1">
        <f t="array" ref="G49">IF(AND(2035&gt;=2026,2035&lt;2026+'7. Pasirinktinis scenarijus'!$C$5),SUM('2. Investicijos'!$H$5:$H$5*'7. Pasirinktinis scenarijus'!$C$6)/'7. Pasirinktinis scenarijus'!$C$5,0)</f>
        <v>0</v>
      </c>
      <c r="H49" s="62">
        <f t="shared" si="40"/>
        <v>0</v>
      </c>
      <c r="I49" s="62">
        <f>SUM(O$5:O$5)</f>
        <v>0</v>
      </c>
      <c r="J49" s="62" t="e" cm="1">
        <f t="array" ref="J49">K49+L49+MAX(0,-R48)*IFERROR(SUMPRODUCT(IF('2. Investicijos'!$N$5:$N$5&gt;('2. Investicijos'!$H$5:$H$5*'7. Pasirinktinis scenarijus'!$C$6),'2. Investicijos'!$N$5:$N$5-('2. Investicijos'!$H$5:$H$5*'7. Pasirinktinis scenarijus'!$C$6),0),'2. Investicijos'!$O$5:$O$5/100)/SUM(IF('2. Investicijos'!$N$5:$N$5&gt;('2. Investicijos'!$H$5:$H$5*'7. Pasirinktinis scenarijus'!$C$6),'2. Investicijos'!$N$5:$N$5-('2. Investicijos'!$H$5:$H$5*'7. Pasirinktinis scenarijus'!$C$6),0)),0)</f>
        <v>#VALUE!</v>
      </c>
      <c r="K49" s="62">
        <f>SUM(AI$5:AI$5)</f>
        <v>0</v>
      </c>
      <c r="L49" s="62">
        <f>SUM(Y$5:Y$5)</f>
        <v>0</v>
      </c>
      <c r="M49" s="62">
        <f>SUM(AS$5:AS$5)</f>
        <v>0</v>
      </c>
      <c r="N49" s="62">
        <f>'3. Finansinės prielaidos'!L30+M49</f>
        <v>0</v>
      </c>
      <c r="O49" s="62">
        <f>'3. Finansinės prielaidos'!L31</f>
        <v>0</v>
      </c>
      <c r="P49" s="62">
        <f>'3. Finansinės prielaidos'!L32</f>
        <v>0</v>
      </c>
      <c r="Q49" s="62" t="e">
        <f t="shared" si="41"/>
        <v>#VALUE!</v>
      </c>
      <c r="R49" s="62" t="e">
        <f>R48+('3. Finansinės prielaidos'!L31-'3. Finansinės prielaidos'!K31)+Q49</f>
        <v>#VALUE!</v>
      </c>
      <c r="S49" s="62" t="e" cm="1">
        <f t="array" ref="S49">SUMPRODUCT(--(2035&gt;'2. Investicijos'!$F$5:$F$5),--(2035&lt;='2. Investicijos'!$F$5:$F$5+'2. Investicijos'!$G$5:$G$5),IFERROR(('2. Investicijos'!$M$5:$M$5+IF('2. Investicijos'!$N$5:$N$5&gt;('2. Investicijos'!$H$5:$H$5*'7. Pasirinktinis scenarijus'!$C$6),'2. Investicijos'!$N$5:$N$5-('2. Investicijos'!$H$5:$H$5*'7. Pasirinktinis scenarijus'!$C$6),0)+('2. Investicijos'!$H$5:$H$5*'7. Pasirinktinis scenarijus'!$C$6))/'2. Investicijos'!$G$5:$G$5,0))+SUMPRODUCT(--(2035&gt;'2. Investicijos'!$F$5:$F$5),--(2035&lt;='2. Investicijos'!$F$5:$F$5+'2. Investicijos'!$G$5:$G$5),IFERROR(('2. Investicijos'!$M$5:$M$5+IF('2. Investicijos'!$N$5:$N$5&gt;('2. Investicijos'!$H$5:$H$5*'7. Pasirinktinis scenarijus'!$C$6),'2. Investicijos'!$N$5:$N$5-('2. Investicijos'!$H$5:$H$5*'7. Pasirinktinis scenarijus'!$C$6),0))*(1-((2035-'2. Investicijos'!$F$5:$F$5)-1)/'2. Investicijos'!$G$5:$G$5),0)*'5. 0% scenarijus'!$C$5)</f>
        <v>#VALUE!</v>
      </c>
      <c r="T49" s="62" t="e">
        <f>'3. Finansinės prielaidos'!L29+S49+G49</f>
        <v>#VALUE!</v>
      </c>
      <c r="U49" s="62" t="e">
        <f t="shared" si="42"/>
        <v>#VALUE!</v>
      </c>
      <c r="V49" s="72" t="e">
        <f t="shared" si="43"/>
        <v>#VALUE!</v>
      </c>
      <c r="W49" s="72" t="e">
        <f t="shared" si="44"/>
        <v>#VALUE!</v>
      </c>
      <c r="X49" s="57" t="e">
        <f t="shared" si="45"/>
        <v>#VALUE!</v>
      </c>
      <c r="Y49" s="57" t="e">
        <f t="shared" si="46"/>
        <v>#VALUE!</v>
      </c>
      <c r="Z49" s="57"/>
      <c r="AA49" s="57"/>
      <c r="AB49" s="57"/>
      <c r="AC49" s="57"/>
      <c r="AD49" s="57"/>
      <c r="AE49" s="57"/>
      <c r="AF49" s="57"/>
      <c r="AG49" s="57"/>
      <c r="AH49" s="57"/>
      <c r="AI49" s="57"/>
      <c r="AJ49" s="57"/>
      <c r="AK49" s="57"/>
      <c r="AL49" s="57"/>
      <c r="AM49" s="57"/>
      <c r="AN49" s="57"/>
      <c r="AO49" s="57"/>
      <c r="AP49" s="57"/>
      <c r="AQ49" s="57"/>
      <c r="AR49" s="57"/>
      <c r="AS49" s="57"/>
    </row>
    <row r="50" spans="1:45">
      <c r="A50" s="57">
        <v>2</v>
      </c>
      <c r="B50" s="57">
        <v>2026</v>
      </c>
      <c r="C50" s="62">
        <f>SUM('4. Metinis CAPEX'!F$9:F$10)</f>
        <v>0</v>
      </c>
      <c r="D50" s="62" cm="1">
        <f t="array" ref="D50">SUMPRODUCT('4. Metinis CAPEX'!F$9:F$10,IFERROR('2. Investicijos'!$N$5:$N$6/'2. Investicijos'!$H$5:$H$6,0))</f>
        <v>0</v>
      </c>
      <c r="E50" s="62" cm="1">
        <f t="array" ref="E50">SUMPRODUCT('4. Metinis CAPEX'!F$9:F$10,IFERROR(('2. Investicijos'!$I$5:$I$6+'2. Investicijos'!$J$5:$J$6+'2. Investicijos'!$K$5:$K$6+'2. Investicijos'!$L$5:$L$6)/'2. Investicijos'!$H$5:$H$6,0))</f>
        <v>0</v>
      </c>
      <c r="F50" s="62" cm="1">
        <f t="array" ref="F50">SUM('2. Investicijos'!$H$5:$H$6*'7. Pasirinktinis scenarijus'!$C$6)</f>
        <v>0</v>
      </c>
      <c r="G50" s="62" cm="1">
        <f t="array" ref="G50">IF(AND(2026&gt;=2026,2026&lt;2026+'7. Pasirinktinis scenarijus'!$C$5),SUM('2. Investicijos'!$H$5:$H$6*'7. Pasirinktinis scenarijus'!$C$6)/'7. Pasirinktinis scenarijus'!$C$5,0)</f>
        <v>0</v>
      </c>
      <c r="H50" s="62">
        <f t="shared" si="40"/>
        <v>0</v>
      </c>
      <c r="I50" s="62">
        <f>SUM(F$5:F$6)</f>
        <v>0</v>
      </c>
      <c r="J50" s="62">
        <f>0</f>
        <v>0</v>
      </c>
      <c r="K50" s="62">
        <f>SUM(Z$5:Z$6)</f>
        <v>0</v>
      </c>
      <c r="L50" s="62">
        <f>SUM(P$5:P$6)</f>
        <v>0</v>
      </c>
      <c r="M50" s="62">
        <f>SUM(AJ$5:AJ$6)</f>
        <v>0</v>
      </c>
      <c r="N50" s="62">
        <f>'3. Finansinės prielaidos'!C30+M50</f>
        <v>0</v>
      </c>
      <c r="O50" s="62">
        <f>'3. Finansinės prielaidos'!C31</f>
        <v>0</v>
      </c>
      <c r="P50" s="62">
        <f>'3. Finansinės prielaidos'!C32</f>
        <v>0</v>
      </c>
      <c r="Q50" s="62" t="e">
        <f t="shared" si="41"/>
        <v>#VALUE!</v>
      </c>
      <c r="R50" s="62" t="e">
        <f>O50+Q50</f>
        <v>#VALUE!</v>
      </c>
      <c r="S50" s="62" t="e" cm="1">
        <f t="array" ref="S50">SUMPRODUCT(--(2026&gt;'2. Investicijos'!$F$5:$F$6),--(2026&lt;='2. Investicijos'!$F$5:$F$6+'2. Investicijos'!$G$5:$G$6),IFERROR(('2. Investicijos'!$M$5:$M$6+IF('2. Investicijos'!$N$5:$N$6&gt;('2. Investicijos'!$H$5:$H$6*'7. Pasirinktinis scenarijus'!$C$6),'2. Investicijos'!$N$5:$N$6-('2. Investicijos'!$H$5:$H$6*'7. Pasirinktinis scenarijus'!$C$6),0)+('2. Investicijos'!$H$5:$H$6*'7. Pasirinktinis scenarijus'!$C$6))/'2. Investicijos'!$G$5:$G$6,0))+SUMPRODUCT(--(2026&gt;'2. Investicijos'!$F$5:$F$6),--(2026&lt;='2. Investicijos'!$F$5:$F$6+'2. Investicijos'!$G$5:$G$6),IFERROR(('2. Investicijos'!$M$5:$M$6+IF('2. Investicijos'!$N$5:$N$6&gt;('2. Investicijos'!$H$5:$H$6*'7. Pasirinktinis scenarijus'!$C$6),'2. Investicijos'!$N$5:$N$6-('2. Investicijos'!$H$5:$H$6*'7. Pasirinktinis scenarijus'!$C$6),0))*(1-((2026-'2. Investicijos'!$F$5:$F$6)-1)/'2. Investicijos'!$G$5:$G$6),0)*'5. 0% scenarijus'!$C$5)</f>
        <v>#VALUE!</v>
      </c>
      <c r="T50" s="62" t="e">
        <f>'3. Finansinės prielaidos'!C29+S50+G50</f>
        <v>#VALUE!</v>
      </c>
      <c r="U50" s="62" t="e">
        <f t="shared" si="42"/>
        <v>#VALUE!</v>
      </c>
      <c r="V50" s="72" t="e">
        <f t="shared" si="43"/>
        <v>#VALUE!</v>
      </c>
      <c r="W50" s="72" t="e">
        <f t="shared" si="44"/>
        <v>#VALUE!</v>
      </c>
      <c r="X50" s="57" t="e">
        <f t="shared" si="45"/>
        <v>#VALUE!</v>
      </c>
      <c r="Y50" s="57" t="e">
        <f t="shared" si="46"/>
        <v>#VALUE!</v>
      </c>
      <c r="Z50" s="57"/>
      <c r="AA50" s="57"/>
      <c r="AB50" s="57"/>
      <c r="AC50" s="57"/>
      <c r="AD50" s="57"/>
      <c r="AE50" s="57"/>
      <c r="AF50" s="57"/>
      <c r="AG50" s="57"/>
      <c r="AH50" s="57"/>
      <c r="AI50" s="57"/>
      <c r="AJ50" s="57"/>
      <c r="AK50" s="57"/>
      <c r="AL50" s="57"/>
      <c r="AM50" s="57"/>
      <c r="AN50" s="57"/>
      <c r="AO50" s="57"/>
      <c r="AP50" s="57"/>
      <c r="AQ50" s="57"/>
      <c r="AR50" s="57"/>
      <c r="AS50" s="57"/>
    </row>
    <row r="51" spans="1:45">
      <c r="A51" s="57">
        <v>2</v>
      </c>
      <c r="B51" s="57">
        <v>2027</v>
      </c>
      <c r="C51" s="62">
        <f>SUM('4. Metinis CAPEX'!G$9:G$10)</f>
        <v>0</v>
      </c>
      <c r="D51" s="62" cm="1">
        <f t="array" ref="D51">SUMPRODUCT('4. Metinis CAPEX'!G$9:G$10,IFERROR('2. Investicijos'!$N$5:$N$6/'2. Investicijos'!$H$5:$H$6,0))</f>
        <v>0</v>
      </c>
      <c r="E51" s="62" cm="1">
        <f t="array" ref="E51">SUMPRODUCT('4. Metinis CAPEX'!G$9:G$10,IFERROR(('2. Investicijos'!$I$5:$I$6+'2. Investicijos'!$J$5:$J$6+'2. Investicijos'!$K$5:$K$6+'2. Investicijos'!$L$5:$L$6)/'2. Investicijos'!$H$5:$H$6,0))</f>
        <v>0</v>
      </c>
      <c r="F51" s="62" cm="1">
        <f t="array" ref="F51">SUM('2. Investicijos'!$H$5:$H$6*'7. Pasirinktinis scenarijus'!$C$6)</f>
        <v>0</v>
      </c>
      <c r="G51" s="62" cm="1">
        <f t="array" ref="G51">IF(AND(2027&gt;=2026,2027&lt;2026+'7. Pasirinktinis scenarijus'!$C$5),SUM('2. Investicijos'!$H$5:$H$6*'7. Pasirinktinis scenarijus'!$C$6)/'7. Pasirinktinis scenarijus'!$C$5,0)</f>
        <v>0</v>
      </c>
      <c r="H51" s="62">
        <f t="shared" si="40"/>
        <v>0</v>
      </c>
      <c r="I51" s="62">
        <f>SUM(G$5:G$6)</f>
        <v>0</v>
      </c>
      <c r="J51" s="62" t="e" cm="1">
        <f t="array" ref="J51">K51+L51+MAX(0,-R50)*IFERROR(SUMPRODUCT(IF('2. Investicijos'!$N$5:$N$6&gt;('2. Investicijos'!$H$5:$H$6*'7. Pasirinktinis scenarijus'!$C$6),'2. Investicijos'!$N$5:$N$6-('2. Investicijos'!$H$5:$H$6*'7. Pasirinktinis scenarijus'!$C$6),0),'2. Investicijos'!$O$5:$O$6/100)/SUM(IF('2. Investicijos'!$N$5:$N$6&gt;('2. Investicijos'!$H$5:$H$6*'7. Pasirinktinis scenarijus'!$C$6),'2. Investicijos'!$N$5:$N$6-('2. Investicijos'!$H$5:$H$6*'7. Pasirinktinis scenarijus'!$C$6),0)),0)</f>
        <v>#VALUE!</v>
      </c>
      <c r="K51" s="62">
        <f>SUM(AA$5:AA$6)</f>
        <v>0</v>
      </c>
      <c r="L51" s="62">
        <f>SUM(Q$5:Q$6)</f>
        <v>0</v>
      </c>
      <c r="M51" s="62">
        <f>SUM(AK$5:AK$6)</f>
        <v>0</v>
      </c>
      <c r="N51" s="62">
        <f>'3. Finansinės prielaidos'!D30+M51</f>
        <v>0</v>
      </c>
      <c r="O51" s="62">
        <f>'3. Finansinės prielaidos'!D31</f>
        <v>0</v>
      </c>
      <c r="P51" s="62">
        <f>'3. Finansinės prielaidos'!D32</f>
        <v>0</v>
      </c>
      <c r="Q51" s="62" t="e">
        <f t="shared" si="41"/>
        <v>#VALUE!</v>
      </c>
      <c r="R51" s="62" t="e">
        <f>R50+('3. Finansinės prielaidos'!D31-'3. Finansinės prielaidos'!C31)+Q51</f>
        <v>#VALUE!</v>
      </c>
      <c r="S51" s="62" t="e" cm="1">
        <f t="array" ref="S51">SUMPRODUCT(--(2027&gt;'2. Investicijos'!$F$5:$F$6),--(2027&lt;='2. Investicijos'!$F$5:$F$6+'2. Investicijos'!$G$5:$G$6),IFERROR(('2. Investicijos'!$M$5:$M$6+IF('2. Investicijos'!$N$5:$N$6&gt;('2. Investicijos'!$H$5:$H$6*'7. Pasirinktinis scenarijus'!$C$6),'2. Investicijos'!$N$5:$N$6-('2. Investicijos'!$H$5:$H$6*'7. Pasirinktinis scenarijus'!$C$6),0)+('2. Investicijos'!$H$5:$H$6*'7. Pasirinktinis scenarijus'!$C$6))/'2. Investicijos'!$G$5:$G$6,0))+SUMPRODUCT(--(2027&gt;'2. Investicijos'!$F$5:$F$6),--(2027&lt;='2. Investicijos'!$F$5:$F$6+'2. Investicijos'!$G$5:$G$6),IFERROR(('2. Investicijos'!$M$5:$M$6+IF('2. Investicijos'!$N$5:$N$6&gt;('2. Investicijos'!$H$5:$H$6*'7. Pasirinktinis scenarijus'!$C$6),'2. Investicijos'!$N$5:$N$6-('2. Investicijos'!$H$5:$H$6*'7. Pasirinktinis scenarijus'!$C$6),0))*(1-((2027-'2. Investicijos'!$F$5:$F$6)-1)/'2. Investicijos'!$G$5:$G$6),0)*'5. 0% scenarijus'!$C$5)</f>
        <v>#VALUE!</v>
      </c>
      <c r="T51" s="62" t="e">
        <f>'3. Finansinės prielaidos'!D29+S51+G51</f>
        <v>#VALUE!</v>
      </c>
      <c r="U51" s="62" t="e">
        <f t="shared" si="42"/>
        <v>#VALUE!</v>
      </c>
      <c r="V51" s="72" t="e">
        <f t="shared" si="43"/>
        <v>#VALUE!</v>
      </c>
      <c r="W51" s="72" t="e">
        <f t="shared" si="44"/>
        <v>#VALUE!</v>
      </c>
      <c r="X51" s="57" t="e">
        <f t="shared" si="45"/>
        <v>#VALUE!</v>
      </c>
      <c r="Y51" s="57" t="e">
        <f t="shared" si="46"/>
        <v>#VALUE!</v>
      </c>
      <c r="Z51" s="57"/>
      <c r="AA51" s="57"/>
      <c r="AB51" s="57"/>
      <c r="AC51" s="57"/>
      <c r="AD51" s="57"/>
      <c r="AE51" s="57"/>
      <c r="AF51" s="57"/>
      <c r="AG51" s="57"/>
      <c r="AH51" s="57"/>
      <c r="AI51" s="57"/>
      <c r="AJ51" s="57"/>
      <c r="AK51" s="57"/>
      <c r="AL51" s="57"/>
      <c r="AM51" s="57"/>
      <c r="AN51" s="57"/>
      <c r="AO51" s="57"/>
      <c r="AP51" s="57"/>
      <c r="AQ51" s="57"/>
      <c r="AR51" s="57"/>
      <c r="AS51" s="57"/>
    </row>
    <row r="52" spans="1:45">
      <c r="A52" s="57">
        <v>2</v>
      </c>
      <c r="B52" s="57">
        <v>2028</v>
      </c>
      <c r="C52" s="62">
        <f>SUM('4. Metinis CAPEX'!H$9:H$10)</f>
        <v>0</v>
      </c>
      <c r="D52" s="62" cm="1">
        <f t="array" ref="D52">SUMPRODUCT('4. Metinis CAPEX'!H$9:H$10,IFERROR('2. Investicijos'!$N$5:$N$6/'2. Investicijos'!$H$5:$H$6,0))</f>
        <v>0</v>
      </c>
      <c r="E52" s="62" cm="1">
        <f t="array" ref="E52">SUMPRODUCT('4. Metinis CAPEX'!H$9:H$10,IFERROR(('2. Investicijos'!$I$5:$I$6+'2. Investicijos'!$J$5:$J$6+'2. Investicijos'!$K$5:$K$6+'2. Investicijos'!$L$5:$L$6)/'2. Investicijos'!$H$5:$H$6,0))</f>
        <v>0</v>
      </c>
      <c r="F52" s="62" cm="1">
        <f t="array" ref="F52">SUM('2. Investicijos'!$H$5:$H$6*'7. Pasirinktinis scenarijus'!$C$6)</f>
        <v>0</v>
      </c>
      <c r="G52" s="62" cm="1">
        <f t="array" ref="G52">IF(AND(2028&gt;=2026,2028&lt;2026+'7. Pasirinktinis scenarijus'!$C$5),SUM('2. Investicijos'!$H$5:$H$6*'7. Pasirinktinis scenarijus'!$C$6)/'7. Pasirinktinis scenarijus'!$C$5,0)</f>
        <v>0</v>
      </c>
      <c r="H52" s="62">
        <f t="shared" si="40"/>
        <v>0</v>
      </c>
      <c r="I52" s="62">
        <f>SUM(H$5:H$6)</f>
        <v>0</v>
      </c>
      <c r="J52" s="62" t="e" cm="1">
        <f t="array" ref="J52">K52+L52+MAX(0,-R51)*IFERROR(SUMPRODUCT(IF('2. Investicijos'!$N$5:$N$6&gt;('2. Investicijos'!$H$5:$H$6*'7. Pasirinktinis scenarijus'!$C$6),'2. Investicijos'!$N$5:$N$6-('2. Investicijos'!$H$5:$H$6*'7. Pasirinktinis scenarijus'!$C$6),0),'2. Investicijos'!$O$5:$O$6/100)/SUM(IF('2. Investicijos'!$N$5:$N$6&gt;('2. Investicijos'!$H$5:$H$6*'7. Pasirinktinis scenarijus'!$C$6),'2. Investicijos'!$N$5:$N$6-('2. Investicijos'!$H$5:$H$6*'7. Pasirinktinis scenarijus'!$C$6),0)),0)</f>
        <v>#VALUE!</v>
      </c>
      <c r="K52" s="62">
        <f>SUM(AB$5:AB$6)</f>
        <v>0</v>
      </c>
      <c r="L52" s="62">
        <f>SUM(R$5:R$6)</f>
        <v>0</v>
      </c>
      <c r="M52" s="62">
        <f>SUM(AL$5:AL$6)</f>
        <v>0</v>
      </c>
      <c r="N52" s="62">
        <f>'3. Finansinės prielaidos'!E30+M52</f>
        <v>0</v>
      </c>
      <c r="O52" s="62">
        <f>'3. Finansinės prielaidos'!E31</f>
        <v>0</v>
      </c>
      <c r="P52" s="62">
        <f>'3. Finansinės prielaidos'!E32</f>
        <v>0</v>
      </c>
      <c r="Q52" s="62" t="e">
        <f t="shared" si="41"/>
        <v>#VALUE!</v>
      </c>
      <c r="R52" s="62" t="e">
        <f>R51+('3. Finansinės prielaidos'!E31-'3. Finansinės prielaidos'!D31)+Q52</f>
        <v>#VALUE!</v>
      </c>
      <c r="S52" s="62" t="e" cm="1">
        <f t="array" ref="S52">SUMPRODUCT(--(2028&gt;'2. Investicijos'!$F$5:$F$6),--(2028&lt;='2. Investicijos'!$F$5:$F$6+'2. Investicijos'!$G$5:$G$6),IFERROR(('2. Investicijos'!$M$5:$M$6+IF('2. Investicijos'!$N$5:$N$6&gt;('2. Investicijos'!$H$5:$H$6*'7. Pasirinktinis scenarijus'!$C$6),'2. Investicijos'!$N$5:$N$6-('2. Investicijos'!$H$5:$H$6*'7. Pasirinktinis scenarijus'!$C$6),0)+('2. Investicijos'!$H$5:$H$6*'7. Pasirinktinis scenarijus'!$C$6))/'2. Investicijos'!$G$5:$G$6,0))+SUMPRODUCT(--(2028&gt;'2. Investicijos'!$F$5:$F$6),--(2028&lt;='2. Investicijos'!$F$5:$F$6+'2. Investicijos'!$G$5:$G$6),IFERROR(('2. Investicijos'!$M$5:$M$6+IF('2. Investicijos'!$N$5:$N$6&gt;('2. Investicijos'!$H$5:$H$6*'7. Pasirinktinis scenarijus'!$C$6),'2. Investicijos'!$N$5:$N$6-('2. Investicijos'!$H$5:$H$6*'7. Pasirinktinis scenarijus'!$C$6),0))*(1-((2028-'2. Investicijos'!$F$5:$F$6)-1)/'2. Investicijos'!$G$5:$G$6),0)*'5. 0% scenarijus'!$C$5)</f>
        <v>#VALUE!</v>
      </c>
      <c r="T52" s="62" t="e">
        <f>'3. Finansinės prielaidos'!E29+S52+G52</f>
        <v>#VALUE!</v>
      </c>
      <c r="U52" s="62" t="e">
        <f t="shared" si="42"/>
        <v>#VALUE!</v>
      </c>
      <c r="V52" s="72" t="e">
        <f t="shared" si="43"/>
        <v>#VALUE!</v>
      </c>
      <c r="W52" s="72" t="e">
        <f t="shared" si="44"/>
        <v>#VALUE!</v>
      </c>
      <c r="X52" s="57" t="e">
        <f t="shared" si="45"/>
        <v>#VALUE!</v>
      </c>
      <c r="Y52" s="57" t="e">
        <f t="shared" si="46"/>
        <v>#VALUE!</v>
      </c>
      <c r="Z52" s="57"/>
      <c r="AA52" s="57"/>
      <c r="AB52" s="57"/>
      <c r="AC52" s="57"/>
      <c r="AD52" s="57"/>
      <c r="AE52" s="57"/>
      <c r="AF52" s="57"/>
      <c r="AG52" s="57"/>
      <c r="AH52" s="57"/>
      <c r="AI52" s="57"/>
      <c r="AJ52" s="57"/>
      <c r="AK52" s="57"/>
      <c r="AL52" s="57"/>
      <c r="AM52" s="57"/>
      <c r="AN52" s="57"/>
      <c r="AO52" s="57"/>
      <c r="AP52" s="57"/>
      <c r="AQ52" s="57"/>
      <c r="AR52" s="57"/>
      <c r="AS52" s="57"/>
    </row>
    <row r="53" spans="1:45">
      <c r="A53" s="57">
        <v>2</v>
      </c>
      <c r="B53" s="57">
        <v>2029</v>
      </c>
      <c r="C53" s="62">
        <f>SUM('4. Metinis CAPEX'!I$9:I$10)</f>
        <v>0</v>
      </c>
      <c r="D53" s="62" cm="1">
        <f t="array" ref="D53">SUMPRODUCT('4. Metinis CAPEX'!I$9:I$10,IFERROR('2. Investicijos'!$N$5:$N$6/'2. Investicijos'!$H$5:$H$6,0))</f>
        <v>0</v>
      </c>
      <c r="E53" s="62" cm="1">
        <f t="array" ref="E53">SUMPRODUCT('4. Metinis CAPEX'!I$9:I$10,IFERROR(('2. Investicijos'!$I$5:$I$6+'2. Investicijos'!$J$5:$J$6+'2. Investicijos'!$K$5:$K$6+'2. Investicijos'!$L$5:$L$6)/'2. Investicijos'!$H$5:$H$6,0))</f>
        <v>0</v>
      </c>
      <c r="F53" s="62" cm="1">
        <f t="array" ref="F53">SUM('2. Investicijos'!$H$5:$H$6*'7. Pasirinktinis scenarijus'!$C$6)</f>
        <v>0</v>
      </c>
      <c r="G53" s="62" cm="1">
        <f t="array" ref="G53">IF(AND(2029&gt;=2026,2029&lt;2026+'7. Pasirinktinis scenarijus'!$C$5),SUM('2. Investicijos'!$H$5:$H$6*'7. Pasirinktinis scenarijus'!$C$6)/'7. Pasirinktinis scenarijus'!$C$5,0)</f>
        <v>0</v>
      </c>
      <c r="H53" s="62">
        <f t="shared" si="40"/>
        <v>0</v>
      </c>
      <c r="I53" s="62">
        <f>SUM(I$5:I$6)</f>
        <v>0</v>
      </c>
      <c r="J53" s="62" t="e" cm="1">
        <f t="array" ref="J53">K53+L53+MAX(0,-R52)*IFERROR(SUMPRODUCT(IF('2. Investicijos'!$N$5:$N$6&gt;('2. Investicijos'!$H$5:$H$6*'7. Pasirinktinis scenarijus'!$C$6),'2. Investicijos'!$N$5:$N$6-('2. Investicijos'!$H$5:$H$6*'7. Pasirinktinis scenarijus'!$C$6),0),'2. Investicijos'!$O$5:$O$6/100)/SUM(IF('2. Investicijos'!$N$5:$N$6&gt;('2. Investicijos'!$H$5:$H$6*'7. Pasirinktinis scenarijus'!$C$6),'2. Investicijos'!$N$5:$N$6-('2. Investicijos'!$H$5:$H$6*'7. Pasirinktinis scenarijus'!$C$6),0)),0)</f>
        <v>#VALUE!</v>
      </c>
      <c r="K53" s="62">
        <f>SUM(AC$5:AC$6)</f>
        <v>0</v>
      </c>
      <c r="L53" s="62">
        <f>SUM(S$5:S$6)</f>
        <v>0</v>
      </c>
      <c r="M53" s="62">
        <f>SUM(AM$5:AM$6)</f>
        <v>0</v>
      </c>
      <c r="N53" s="62">
        <f>'3. Finansinės prielaidos'!F30+M53</f>
        <v>0</v>
      </c>
      <c r="O53" s="62">
        <f>'3. Finansinės prielaidos'!F31</f>
        <v>0</v>
      </c>
      <c r="P53" s="62">
        <f>'3. Finansinės prielaidos'!F32</f>
        <v>0</v>
      </c>
      <c r="Q53" s="62" t="e">
        <f t="shared" si="41"/>
        <v>#VALUE!</v>
      </c>
      <c r="R53" s="62" t="e">
        <f>R52+('3. Finansinės prielaidos'!F31-'3. Finansinės prielaidos'!E31)+Q53</f>
        <v>#VALUE!</v>
      </c>
      <c r="S53" s="62" t="e" cm="1">
        <f t="array" ref="S53">SUMPRODUCT(--(2029&gt;'2. Investicijos'!$F$5:$F$6),--(2029&lt;='2. Investicijos'!$F$5:$F$6+'2. Investicijos'!$G$5:$G$6),IFERROR(('2. Investicijos'!$M$5:$M$6+IF('2. Investicijos'!$N$5:$N$6&gt;('2. Investicijos'!$H$5:$H$6*'7. Pasirinktinis scenarijus'!$C$6),'2. Investicijos'!$N$5:$N$6-('2. Investicijos'!$H$5:$H$6*'7. Pasirinktinis scenarijus'!$C$6),0)+('2. Investicijos'!$H$5:$H$6*'7. Pasirinktinis scenarijus'!$C$6))/'2. Investicijos'!$G$5:$G$6,0))+SUMPRODUCT(--(2029&gt;'2. Investicijos'!$F$5:$F$6),--(2029&lt;='2. Investicijos'!$F$5:$F$6+'2. Investicijos'!$G$5:$G$6),IFERROR(('2. Investicijos'!$M$5:$M$6+IF('2. Investicijos'!$N$5:$N$6&gt;('2. Investicijos'!$H$5:$H$6*'7. Pasirinktinis scenarijus'!$C$6),'2. Investicijos'!$N$5:$N$6-('2. Investicijos'!$H$5:$H$6*'7. Pasirinktinis scenarijus'!$C$6),0))*(1-((2029-'2. Investicijos'!$F$5:$F$6)-1)/'2. Investicijos'!$G$5:$G$6),0)*'5. 0% scenarijus'!$C$5)</f>
        <v>#VALUE!</v>
      </c>
      <c r="T53" s="62" t="e">
        <f>'3. Finansinės prielaidos'!F29+S53+G53</f>
        <v>#VALUE!</v>
      </c>
      <c r="U53" s="62" t="e">
        <f t="shared" si="42"/>
        <v>#VALUE!</v>
      </c>
      <c r="V53" s="72" t="e">
        <f t="shared" si="43"/>
        <v>#VALUE!</v>
      </c>
      <c r="W53" s="72" t="e">
        <f t="shared" si="44"/>
        <v>#VALUE!</v>
      </c>
      <c r="X53" s="57" t="e">
        <f t="shared" si="45"/>
        <v>#VALUE!</v>
      </c>
      <c r="Y53" s="57" t="e">
        <f t="shared" si="46"/>
        <v>#VALUE!</v>
      </c>
      <c r="Z53" s="57"/>
      <c r="AA53" s="57"/>
      <c r="AB53" s="57"/>
      <c r="AC53" s="57"/>
      <c r="AD53" s="57"/>
      <c r="AE53" s="57"/>
      <c r="AF53" s="57"/>
      <c r="AG53" s="57"/>
      <c r="AH53" s="57"/>
      <c r="AI53" s="57"/>
      <c r="AJ53" s="57"/>
      <c r="AK53" s="57"/>
      <c r="AL53" s="57"/>
      <c r="AM53" s="57"/>
      <c r="AN53" s="57"/>
      <c r="AO53" s="57"/>
      <c r="AP53" s="57"/>
      <c r="AQ53" s="57"/>
      <c r="AR53" s="57"/>
      <c r="AS53" s="57"/>
    </row>
    <row r="54" spans="1:45">
      <c r="A54" s="57">
        <v>2</v>
      </c>
      <c r="B54" s="57">
        <v>2030</v>
      </c>
      <c r="C54" s="62">
        <f>SUM('4. Metinis CAPEX'!J$9:J$10)</f>
        <v>0</v>
      </c>
      <c r="D54" s="62" cm="1">
        <f t="array" ref="D54">SUMPRODUCT('4. Metinis CAPEX'!J$9:J$10,IFERROR('2. Investicijos'!$N$5:$N$6/'2. Investicijos'!$H$5:$H$6,0))</f>
        <v>0</v>
      </c>
      <c r="E54" s="62" cm="1">
        <f t="array" ref="E54">SUMPRODUCT('4. Metinis CAPEX'!J$9:J$10,IFERROR(('2. Investicijos'!$I$5:$I$6+'2. Investicijos'!$J$5:$J$6+'2. Investicijos'!$K$5:$K$6+'2. Investicijos'!$L$5:$L$6)/'2. Investicijos'!$H$5:$H$6,0))</f>
        <v>0</v>
      </c>
      <c r="F54" s="62" cm="1">
        <f t="array" ref="F54">SUM('2. Investicijos'!$H$5:$H$6*'7. Pasirinktinis scenarijus'!$C$6)</f>
        <v>0</v>
      </c>
      <c r="G54" s="62" cm="1">
        <f t="array" ref="G54">IF(AND(2030&gt;=2026,2030&lt;2026+'7. Pasirinktinis scenarijus'!$C$5),SUM('2. Investicijos'!$H$5:$H$6*'7. Pasirinktinis scenarijus'!$C$6)/'7. Pasirinktinis scenarijus'!$C$5,0)</f>
        <v>0</v>
      </c>
      <c r="H54" s="62">
        <f t="shared" si="40"/>
        <v>0</v>
      </c>
      <c r="I54" s="62">
        <f>SUM(J$5:J$6)</f>
        <v>0</v>
      </c>
      <c r="J54" s="62" t="e" cm="1">
        <f t="array" ref="J54">K54+L54+MAX(0,-R53)*IFERROR(SUMPRODUCT(IF('2. Investicijos'!$N$5:$N$6&gt;('2. Investicijos'!$H$5:$H$6*'7. Pasirinktinis scenarijus'!$C$6),'2. Investicijos'!$N$5:$N$6-('2. Investicijos'!$H$5:$H$6*'7. Pasirinktinis scenarijus'!$C$6),0),'2. Investicijos'!$O$5:$O$6/100)/SUM(IF('2. Investicijos'!$N$5:$N$6&gt;('2. Investicijos'!$H$5:$H$6*'7. Pasirinktinis scenarijus'!$C$6),'2. Investicijos'!$N$5:$N$6-('2. Investicijos'!$H$5:$H$6*'7. Pasirinktinis scenarijus'!$C$6),0)),0)</f>
        <v>#VALUE!</v>
      </c>
      <c r="K54" s="62">
        <f>SUM(AD$5:AD$6)</f>
        <v>0</v>
      </c>
      <c r="L54" s="62">
        <f>SUM(T$5:T$6)</f>
        <v>0</v>
      </c>
      <c r="M54" s="62">
        <f>SUM(AN$5:AN$6)</f>
        <v>0</v>
      </c>
      <c r="N54" s="62">
        <f>'3. Finansinės prielaidos'!G30+M54</f>
        <v>0</v>
      </c>
      <c r="O54" s="62">
        <f>'3. Finansinės prielaidos'!G31</f>
        <v>0</v>
      </c>
      <c r="P54" s="62">
        <f>'3. Finansinės prielaidos'!G32</f>
        <v>0</v>
      </c>
      <c r="Q54" s="62" t="e">
        <f t="shared" si="41"/>
        <v>#VALUE!</v>
      </c>
      <c r="R54" s="62" t="e">
        <f>R53+('3. Finansinės prielaidos'!G31-'3. Finansinės prielaidos'!F31)+Q54</f>
        <v>#VALUE!</v>
      </c>
      <c r="S54" s="62" t="e" cm="1">
        <f t="array" ref="S54">SUMPRODUCT(--(2030&gt;'2. Investicijos'!$F$5:$F$6),--(2030&lt;='2. Investicijos'!$F$5:$F$6+'2. Investicijos'!$G$5:$G$6),IFERROR(('2. Investicijos'!$M$5:$M$6+IF('2. Investicijos'!$N$5:$N$6&gt;('2. Investicijos'!$H$5:$H$6*'7. Pasirinktinis scenarijus'!$C$6),'2. Investicijos'!$N$5:$N$6-('2. Investicijos'!$H$5:$H$6*'7. Pasirinktinis scenarijus'!$C$6),0)+('2. Investicijos'!$H$5:$H$6*'7. Pasirinktinis scenarijus'!$C$6))/'2. Investicijos'!$G$5:$G$6,0))+SUMPRODUCT(--(2030&gt;'2. Investicijos'!$F$5:$F$6),--(2030&lt;='2. Investicijos'!$F$5:$F$6+'2. Investicijos'!$G$5:$G$6),IFERROR(('2. Investicijos'!$M$5:$M$6+IF('2. Investicijos'!$N$5:$N$6&gt;('2. Investicijos'!$H$5:$H$6*'7. Pasirinktinis scenarijus'!$C$6),'2. Investicijos'!$N$5:$N$6-('2. Investicijos'!$H$5:$H$6*'7. Pasirinktinis scenarijus'!$C$6),0))*(1-((2030-'2. Investicijos'!$F$5:$F$6)-1)/'2. Investicijos'!$G$5:$G$6),0)*'5. 0% scenarijus'!$C$5)</f>
        <v>#VALUE!</v>
      </c>
      <c r="T54" s="62" t="e">
        <f>'3. Finansinės prielaidos'!G29+S54+G54</f>
        <v>#VALUE!</v>
      </c>
      <c r="U54" s="62" t="e">
        <f t="shared" si="42"/>
        <v>#VALUE!</v>
      </c>
      <c r="V54" s="72" t="e">
        <f t="shared" si="43"/>
        <v>#VALUE!</v>
      </c>
      <c r="W54" s="72" t="e">
        <f t="shared" si="44"/>
        <v>#VALUE!</v>
      </c>
      <c r="X54" s="57" t="e">
        <f t="shared" si="45"/>
        <v>#VALUE!</v>
      </c>
      <c r="Y54" s="57" t="e">
        <f t="shared" si="46"/>
        <v>#VALUE!</v>
      </c>
      <c r="Z54" s="57"/>
      <c r="AA54" s="57"/>
      <c r="AB54" s="57"/>
      <c r="AC54" s="57"/>
      <c r="AD54" s="57"/>
      <c r="AE54" s="57"/>
      <c r="AF54" s="57"/>
      <c r="AG54" s="57"/>
      <c r="AH54" s="57"/>
      <c r="AI54" s="57"/>
      <c r="AJ54" s="57"/>
      <c r="AK54" s="57"/>
      <c r="AL54" s="57"/>
      <c r="AM54" s="57"/>
      <c r="AN54" s="57"/>
      <c r="AO54" s="57"/>
      <c r="AP54" s="57"/>
      <c r="AQ54" s="57"/>
      <c r="AR54" s="57"/>
      <c r="AS54" s="57"/>
    </row>
    <row r="55" spans="1:45">
      <c r="A55" s="57">
        <v>2</v>
      </c>
      <c r="B55" s="57">
        <v>2031</v>
      </c>
      <c r="C55" s="62">
        <f>SUM('4. Metinis CAPEX'!K$9:K$10)</f>
        <v>0</v>
      </c>
      <c r="D55" s="62" cm="1">
        <f t="array" ref="D55">SUMPRODUCT('4. Metinis CAPEX'!K$9:K$10,IFERROR('2. Investicijos'!$N$5:$N$6/'2. Investicijos'!$H$5:$H$6,0))</f>
        <v>0</v>
      </c>
      <c r="E55" s="62" cm="1">
        <f t="array" ref="E55">SUMPRODUCT('4. Metinis CAPEX'!K$9:K$10,IFERROR(('2. Investicijos'!$I$5:$I$6+'2. Investicijos'!$J$5:$J$6+'2. Investicijos'!$K$5:$K$6+'2. Investicijos'!$L$5:$L$6)/'2. Investicijos'!$H$5:$H$6,0))</f>
        <v>0</v>
      </c>
      <c r="F55" s="62" cm="1">
        <f t="array" ref="F55">SUM('2. Investicijos'!$H$5:$H$6*'7. Pasirinktinis scenarijus'!$C$6)</f>
        <v>0</v>
      </c>
      <c r="G55" s="62" cm="1">
        <f t="array" ref="G55">IF(AND(2031&gt;=2026,2031&lt;2026+'7. Pasirinktinis scenarijus'!$C$5),SUM('2. Investicijos'!$H$5:$H$6*'7. Pasirinktinis scenarijus'!$C$6)/'7. Pasirinktinis scenarijus'!$C$5,0)</f>
        <v>0</v>
      </c>
      <c r="H55" s="62">
        <f t="shared" si="40"/>
        <v>0</v>
      </c>
      <c r="I55" s="62">
        <f>SUM(K$5:K$6)</f>
        <v>0</v>
      </c>
      <c r="J55" s="62" t="e" cm="1">
        <f t="array" ref="J55">K55+L55+MAX(0,-R54)*IFERROR(SUMPRODUCT(IF('2. Investicijos'!$N$5:$N$6&gt;('2. Investicijos'!$H$5:$H$6*'7. Pasirinktinis scenarijus'!$C$6),'2. Investicijos'!$N$5:$N$6-('2. Investicijos'!$H$5:$H$6*'7. Pasirinktinis scenarijus'!$C$6),0),'2. Investicijos'!$O$5:$O$6/100)/SUM(IF('2. Investicijos'!$N$5:$N$6&gt;('2. Investicijos'!$H$5:$H$6*'7. Pasirinktinis scenarijus'!$C$6),'2. Investicijos'!$N$5:$N$6-('2. Investicijos'!$H$5:$H$6*'7. Pasirinktinis scenarijus'!$C$6),0)),0)</f>
        <v>#VALUE!</v>
      </c>
      <c r="K55" s="62">
        <f>SUM(AE$5:AE$6)</f>
        <v>0</v>
      </c>
      <c r="L55" s="62">
        <f>SUM(U$5:U$6)</f>
        <v>0</v>
      </c>
      <c r="M55" s="62">
        <f>SUM(AO$5:AO$6)</f>
        <v>0</v>
      </c>
      <c r="N55" s="62">
        <f>'3. Finansinės prielaidos'!H30+M55</f>
        <v>0</v>
      </c>
      <c r="O55" s="62">
        <f>'3. Finansinės prielaidos'!H31</f>
        <v>0</v>
      </c>
      <c r="P55" s="62">
        <f>'3. Finansinės prielaidos'!H32</f>
        <v>0</v>
      </c>
      <c r="Q55" s="62" t="e">
        <f t="shared" si="41"/>
        <v>#VALUE!</v>
      </c>
      <c r="R55" s="62" t="e">
        <f>R54+('3. Finansinės prielaidos'!H31-'3. Finansinės prielaidos'!G31)+Q55</f>
        <v>#VALUE!</v>
      </c>
      <c r="S55" s="62" t="e" cm="1">
        <f t="array" ref="S55">SUMPRODUCT(--(2031&gt;'2. Investicijos'!$F$5:$F$6),--(2031&lt;='2. Investicijos'!$F$5:$F$6+'2. Investicijos'!$G$5:$G$6),IFERROR(('2. Investicijos'!$M$5:$M$6+IF('2. Investicijos'!$N$5:$N$6&gt;('2. Investicijos'!$H$5:$H$6*'7. Pasirinktinis scenarijus'!$C$6),'2. Investicijos'!$N$5:$N$6-('2. Investicijos'!$H$5:$H$6*'7. Pasirinktinis scenarijus'!$C$6),0)+('2. Investicijos'!$H$5:$H$6*'7. Pasirinktinis scenarijus'!$C$6))/'2. Investicijos'!$G$5:$G$6,0))+SUMPRODUCT(--(2031&gt;'2. Investicijos'!$F$5:$F$6),--(2031&lt;='2. Investicijos'!$F$5:$F$6+'2. Investicijos'!$G$5:$G$6),IFERROR(('2. Investicijos'!$M$5:$M$6+IF('2. Investicijos'!$N$5:$N$6&gt;('2. Investicijos'!$H$5:$H$6*'7. Pasirinktinis scenarijus'!$C$6),'2. Investicijos'!$N$5:$N$6-('2. Investicijos'!$H$5:$H$6*'7. Pasirinktinis scenarijus'!$C$6),0))*(1-((2031-'2. Investicijos'!$F$5:$F$6)-1)/'2. Investicijos'!$G$5:$G$6),0)*'5. 0% scenarijus'!$C$5)</f>
        <v>#VALUE!</v>
      </c>
      <c r="T55" s="62" t="e">
        <f>'3. Finansinės prielaidos'!H29+S55+G55</f>
        <v>#VALUE!</v>
      </c>
      <c r="U55" s="62" t="e">
        <f t="shared" si="42"/>
        <v>#VALUE!</v>
      </c>
      <c r="V55" s="72" t="e">
        <f t="shared" si="43"/>
        <v>#VALUE!</v>
      </c>
      <c r="W55" s="72" t="e">
        <f t="shared" si="44"/>
        <v>#VALUE!</v>
      </c>
      <c r="X55" s="57" t="e">
        <f t="shared" si="45"/>
        <v>#VALUE!</v>
      </c>
      <c r="Y55" s="57" t="e">
        <f t="shared" si="46"/>
        <v>#VALUE!</v>
      </c>
      <c r="Z55" s="57"/>
      <c r="AA55" s="57"/>
      <c r="AB55" s="57"/>
      <c r="AC55" s="57"/>
      <c r="AD55" s="57"/>
      <c r="AE55" s="57"/>
      <c r="AF55" s="57"/>
      <c r="AG55" s="57"/>
      <c r="AH55" s="57"/>
      <c r="AI55" s="57"/>
      <c r="AJ55" s="57"/>
      <c r="AK55" s="57"/>
      <c r="AL55" s="57"/>
      <c r="AM55" s="57"/>
      <c r="AN55" s="57"/>
      <c r="AO55" s="57"/>
      <c r="AP55" s="57"/>
      <c r="AQ55" s="57"/>
      <c r="AR55" s="57"/>
      <c r="AS55" s="57"/>
    </row>
    <row r="56" spans="1:45">
      <c r="A56" s="57">
        <v>2</v>
      </c>
      <c r="B56" s="57">
        <v>2032</v>
      </c>
      <c r="C56" s="62">
        <f>SUM('4. Metinis CAPEX'!L$9:L$10)</f>
        <v>0</v>
      </c>
      <c r="D56" s="62" cm="1">
        <f t="array" ref="D56">SUMPRODUCT('4. Metinis CAPEX'!L$9:L$10,IFERROR('2. Investicijos'!$N$5:$N$6/'2. Investicijos'!$H$5:$H$6,0))</f>
        <v>0</v>
      </c>
      <c r="E56" s="62" cm="1">
        <f t="array" ref="E56">SUMPRODUCT('4. Metinis CAPEX'!L$9:L$10,IFERROR(('2. Investicijos'!$I$5:$I$6+'2. Investicijos'!$J$5:$J$6+'2. Investicijos'!$K$5:$K$6+'2. Investicijos'!$L$5:$L$6)/'2. Investicijos'!$H$5:$H$6,0))</f>
        <v>0</v>
      </c>
      <c r="F56" s="62" cm="1">
        <f t="array" ref="F56">SUM('2. Investicijos'!$H$5:$H$6*'7. Pasirinktinis scenarijus'!$C$6)</f>
        <v>0</v>
      </c>
      <c r="G56" s="62" cm="1">
        <f t="array" ref="G56">IF(AND(2032&gt;=2026,2032&lt;2026+'7. Pasirinktinis scenarijus'!$C$5),SUM('2. Investicijos'!$H$5:$H$6*'7. Pasirinktinis scenarijus'!$C$6)/'7. Pasirinktinis scenarijus'!$C$5,0)</f>
        <v>0</v>
      </c>
      <c r="H56" s="62">
        <f t="shared" si="40"/>
        <v>0</v>
      </c>
      <c r="I56" s="62">
        <f>SUM(L$5:L$6)</f>
        <v>0</v>
      </c>
      <c r="J56" s="62" t="e" cm="1">
        <f t="array" ref="J56">K56+L56+MAX(0,-R55)*IFERROR(SUMPRODUCT(IF('2. Investicijos'!$N$5:$N$6&gt;('2. Investicijos'!$H$5:$H$6*'7. Pasirinktinis scenarijus'!$C$6),'2. Investicijos'!$N$5:$N$6-('2. Investicijos'!$H$5:$H$6*'7. Pasirinktinis scenarijus'!$C$6),0),'2. Investicijos'!$O$5:$O$6/100)/SUM(IF('2. Investicijos'!$N$5:$N$6&gt;('2. Investicijos'!$H$5:$H$6*'7. Pasirinktinis scenarijus'!$C$6),'2. Investicijos'!$N$5:$N$6-('2. Investicijos'!$H$5:$H$6*'7. Pasirinktinis scenarijus'!$C$6),0)),0)</f>
        <v>#VALUE!</v>
      </c>
      <c r="K56" s="62">
        <f>SUM(AF$5:AF$6)</f>
        <v>0</v>
      </c>
      <c r="L56" s="62">
        <f>SUM(V$5:V$6)</f>
        <v>0</v>
      </c>
      <c r="M56" s="62">
        <f>SUM(AP$5:AP$6)</f>
        <v>0</v>
      </c>
      <c r="N56" s="62">
        <f>'3. Finansinės prielaidos'!I30+M56</f>
        <v>0</v>
      </c>
      <c r="O56" s="62">
        <f>'3. Finansinės prielaidos'!I31</f>
        <v>0</v>
      </c>
      <c r="P56" s="62">
        <f>'3. Finansinės prielaidos'!I32</f>
        <v>0</v>
      </c>
      <c r="Q56" s="62" t="e">
        <f t="shared" si="41"/>
        <v>#VALUE!</v>
      </c>
      <c r="R56" s="62" t="e">
        <f>R55+('3. Finansinės prielaidos'!I31-'3. Finansinės prielaidos'!H31)+Q56</f>
        <v>#VALUE!</v>
      </c>
      <c r="S56" s="62" t="e" cm="1">
        <f t="array" ref="S56">SUMPRODUCT(--(2032&gt;'2. Investicijos'!$F$5:$F$6),--(2032&lt;='2. Investicijos'!$F$5:$F$6+'2. Investicijos'!$G$5:$G$6),IFERROR(('2. Investicijos'!$M$5:$M$6+IF('2. Investicijos'!$N$5:$N$6&gt;('2. Investicijos'!$H$5:$H$6*'7. Pasirinktinis scenarijus'!$C$6),'2. Investicijos'!$N$5:$N$6-('2. Investicijos'!$H$5:$H$6*'7. Pasirinktinis scenarijus'!$C$6),0)+('2. Investicijos'!$H$5:$H$6*'7. Pasirinktinis scenarijus'!$C$6))/'2. Investicijos'!$G$5:$G$6,0))+SUMPRODUCT(--(2032&gt;'2. Investicijos'!$F$5:$F$6),--(2032&lt;='2. Investicijos'!$F$5:$F$6+'2. Investicijos'!$G$5:$G$6),IFERROR(('2. Investicijos'!$M$5:$M$6+IF('2. Investicijos'!$N$5:$N$6&gt;('2. Investicijos'!$H$5:$H$6*'7. Pasirinktinis scenarijus'!$C$6),'2. Investicijos'!$N$5:$N$6-('2. Investicijos'!$H$5:$H$6*'7. Pasirinktinis scenarijus'!$C$6),0))*(1-((2032-'2. Investicijos'!$F$5:$F$6)-1)/'2. Investicijos'!$G$5:$G$6),0)*'5. 0% scenarijus'!$C$5)</f>
        <v>#VALUE!</v>
      </c>
      <c r="T56" s="62" t="e">
        <f>'3. Finansinės prielaidos'!I29+S56+G56</f>
        <v>#VALUE!</v>
      </c>
      <c r="U56" s="62" t="e">
        <f t="shared" si="42"/>
        <v>#VALUE!</v>
      </c>
      <c r="V56" s="72" t="e">
        <f t="shared" si="43"/>
        <v>#VALUE!</v>
      </c>
      <c r="W56" s="72" t="e">
        <f t="shared" si="44"/>
        <v>#VALUE!</v>
      </c>
      <c r="X56" s="57" t="e">
        <f t="shared" si="45"/>
        <v>#VALUE!</v>
      </c>
      <c r="Y56" s="57" t="e">
        <f t="shared" si="46"/>
        <v>#VALUE!</v>
      </c>
      <c r="Z56" s="57"/>
      <c r="AA56" s="57"/>
      <c r="AB56" s="57"/>
      <c r="AC56" s="57"/>
      <c r="AD56" s="57"/>
      <c r="AE56" s="57"/>
      <c r="AF56" s="57"/>
      <c r="AG56" s="57"/>
      <c r="AH56" s="57"/>
      <c r="AI56" s="57"/>
      <c r="AJ56" s="57"/>
      <c r="AK56" s="57"/>
      <c r="AL56" s="57"/>
      <c r="AM56" s="57"/>
      <c r="AN56" s="57"/>
      <c r="AO56" s="57"/>
      <c r="AP56" s="57"/>
      <c r="AQ56" s="57"/>
      <c r="AR56" s="57"/>
      <c r="AS56" s="57"/>
    </row>
    <row r="57" spans="1:45">
      <c r="A57" s="57">
        <v>2</v>
      </c>
      <c r="B57" s="57">
        <v>2033</v>
      </c>
      <c r="C57" s="62">
        <f>SUM('4. Metinis CAPEX'!M$9:M$10)</f>
        <v>0</v>
      </c>
      <c r="D57" s="62" cm="1">
        <f t="array" ref="D57">SUMPRODUCT('4. Metinis CAPEX'!M$9:M$10,IFERROR('2. Investicijos'!$N$5:$N$6/'2. Investicijos'!$H$5:$H$6,0))</f>
        <v>0</v>
      </c>
      <c r="E57" s="62" cm="1">
        <f t="array" ref="E57">SUMPRODUCT('4. Metinis CAPEX'!M$9:M$10,IFERROR(('2. Investicijos'!$I$5:$I$6+'2. Investicijos'!$J$5:$J$6+'2. Investicijos'!$K$5:$K$6+'2. Investicijos'!$L$5:$L$6)/'2. Investicijos'!$H$5:$H$6,0))</f>
        <v>0</v>
      </c>
      <c r="F57" s="62" cm="1">
        <f t="array" ref="F57">SUM('2. Investicijos'!$H$5:$H$6*'7. Pasirinktinis scenarijus'!$C$6)</f>
        <v>0</v>
      </c>
      <c r="G57" s="62" cm="1">
        <f t="array" ref="G57">IF(AND(2033&gt;=2026,2033&lt;2026+'7. Pasirinktinis scenarijus'!$C$5),SUM('2. Investicijos'!$H$5:$H$6*'7. Pasirinktinis scenarijus'!$C$6)/'7. Pasirinktinis scenarijus'!$C$5,0)</f>
        <v>0</v>
      </c>
      <c r="H57" s="62">
        <f t="shared" si="40"/>
        <v>0</v>
      </c>
      <c r="I57" s="62">
        <f>SUM(M$5:M$6)</f>
        <v>0</v>
      </c>
      <c r="J57" s="62" t="e" cm="1">
        <f t="array" ref="J57">K57+L57+MAX(0,-R56)*IFERROR(SUMPRODUCT(IF('2. Investicijos'!$N$5:$N$6&gt;('2. Investicijos'!$H$5:$H$6*'7. Pasirinktinis scenarijus'!$C$6),'2. Investicijos'!$N$5:$N$6-('2. Investicijos'!$H$5:$H$6*'7. Pasirinktinis scenarijus'!$C$6),0),'2. Investicijos'!$O$5:$O$6/100)/SUM(IF('2. Investicijos'!$N$5:$N$6&gt;('2. Investicijos'!$H$5:$H$6*'7. Pasirinktinis scenarijus'!$C$6),'2. Investicijos'!$N$5:$N$6-('2. Investicijos'!$H$5:$H$6*'7. Pasirinktinis scenarijus'!$C$6),0)),0)</f>
        <v>#VALUE!</v>
      </c>
      <c r="K57" s="62">
        <f>SUM(AG$5:AG$6)</f>
        <v>0</v>
      </c>
      <c r="L57" s="62">
        <f>SUM(W$5:W$6)</f>
        <v>0</v>
      </c>
      <c r="M57" s="62">
        <f>SUM(AQ$5:AQ$6)</f>
        <v>0</v>
      </c>
      <c r="N57" s="62">
        <f>'3. Finansinės prielaidos'!J30+M57</f>
        <v>0</v>
      </c>
      <c r="O57" s="62">
        <f>'3. Finansinės prielaidos'!J31</f>
        <v>0</v>
      </c>
      <c r="P57" s="62">
        <f>'3. Finansinės prielaidos'!J32</f>
        <v>0</v>
      </c>
      <c r="Q57" s="62" t="e">
        <f t="shared" si="41"/>
        <v>#VALUE!</v>
      </c>
      <c r="R57" s="62" t="e">
        <f>R56+('3. Finansinės prielaidos'!J31-'3. Finansinės prielaidos'!I31)+Q57</f>
        <v>#VALUE!</v>
      </c>
      <c r="S57" s="62" t="e" cm="1">
        <f t="array" ref="S57">SUMPRODUCT(--(2033&gt;'2. Investicijos'!$F$5:$F$6),--(2033&lt;='2. Investicijos'!$F$5:$F$6+'2. Investicijos'!$G$5:$G$6),IFERROR(('2. Investicijos'!$M$5:$M$6+IF('2. Investicijos'!$N$5:$N$6&gt;('2. Investicijos'!$H$5:$H$6*'7. Pasirinktinis scenarijus'!$C$6),'2. Investicijos'!$N$5:$N$6-('2. Investicijos'!$H$5:$H$6*'7. Pasirinktinis scenarijus'!$C$6),0)+('2. Investicijos'!$H$5:$H$6*'7. Pasirinktinis scenarijus'!$C$6))/'2. Investicijos'!$G$5:$G$6,0))+SUMPRODUCT(--(2033&gt;'2. Investicijos'!$F$5:$F$6),--(2033&lt;='2. Investicijos'!$F$5:$F$6+'2. Investicijos'!$G$5:$G$6),IFERROR(('2. Investicijos'!$M$5:$M$6+IF('2. Investicijos'!$N$5:$N$6&gt;('2. Investicijos'!$H$5:$H$6*'7. Pasirinktinis scenarijus'!$C$6),'2. Investicijos'!$N$5:$N$6-('2. Investicijos'!$H$5:$H$6*'7. Pasirinktinis scenarijus'!$C$6),0))*(1-((2033-'2. Investicijos'!$F$5:$F$6)-1)/'2. Investicijos'!$G$5:$G$6),0)*'5. 0% scenarijus'!$C$5)</f>
        <v>#VALUE!</v>
      </c>
      <c r="T57" s="62" t="e">
        <f>'3. Finansinės prielaidos'!J29+S57+G57</f>
        <v>#VALUE!</v>
      </c>
      <c r="U57" s="62" t="e">
        <f t="shared" si="42"/>
        <v>#VALUE!</v>
      </c>
      <c r="V57" s="72" t="e">
        <f t="shared" si="43"/>
        <v>#VALUE!</v>
      </c>
      <c r="W57" s="72" t="e">
        <f t="shared" si="44"/>
        <v>#VALUE!</v>
      </c>
      <c r="X57" s="57" t="e">
        <f t="shared" si="45"/>
        <v>#VALUE!</v>
      </c>
      <c r="Y57" s="57" t="e">
        <f t="shared" si="46"/>
        <v>#VALUE!</v>
      </c>
      <c r="Z57" s="57"/>
      <c r="AA57" s="57"/>
      <c r="AB57" s="57"/>
      <c r="AC57" s="57"/>
      <c r="AD57" s="57"/>
      <c r="AE57" s="57"/>
      <c r="AF57" s="57"/>
      <c r="AG57" s="57"/>
      <c r="AH57" s="57"/>
      <c r="AI57" s="57"/>
      <c r="AJ57" s="57"/>
      <c r="AK57" s="57"/>
      <c r="AL57" s="57"/>
      <c r="AM57" s="57"/>
      <c r="AN57" s="57"/>
      <c r="AO57" s="57"/>
      <c r="AP57" s="57"/>
      <c r="AQ57" s="57"/>
      <c r="AR57" s="57"/>
      <c r="AS57" s="57"/>
    </row>
    <row r="58" spans="1:45">
      <c r="A58" s="57">
        <v>2</v>
      </c>
      <c r="B58" s="57">
        <v>2034</v>
      </c>
      <c r="C58" s="62">
        <f>SUM('4. Metinis CAPEX'!N$9:N$10)</f>
        <v>0</v>
      </c>
      <c r="D58" s="62" cm="1">
        <f t="array" ref="D58">SUMPRODUCT('4. Metinis CAPEX'!N$9:N$10,IFERROR('2. Investicijos'!$N$5:$N$6/'2. Investicijos'!$H$5:$H$6,0))</f>
        <v>0</v>
      </c>
      <c r="E58" s="62" cm="1">
        <f t="array" ref="E58">SUMPRODUCT('4. Metinis CAPEX'!N$9:N$10,IFERROR(('2. Investicijos'!$I$5:$I$6+'2. Investicijos'!$J$5:$J$6+'2. Investicijos'!$K$5:$K$6+'2. Investicijos'!$L$5:$L$6)/'2. Investicijos'!$H$5:$H$6,0))</f>
        <v>0</v>
      </c>
      <c r="F58" s="62" cm="1">
        <f t="array" ref="F58">SUM('2. Investicijos'!$H$5:$H$6*'7. Pasirinktinis scenarijus'!$C$6)</f>
        <v>0</v>
      </c>
      <c r="G58" s="62" cm="1">
        <f t="array" ref="G58">IF(AND(2034&gt;=2026,2034&lt;2026+'7. Pasirinktinis scenarijus'!$C$5),SUM('2. Investicijos'!$H$5:$H$6*'7. Pasirinktinis scenarijus'!$C$6)/'7. Pasirinktinis scenarijus'!$C$5,0)</f>
        <v>0</v>
      </c>
      <c r="H58" s="62">
        <f t="shared" si="40"/>
        <v>0</v>
      </c>
      <c r="I58" s="62">
        <f>SUM(N$5:N$6)</f>
        <v>0</v>
      </c>
      <c r="J58" s="62" t="e" cm="1">
        <f t="array" ref="J58">K58+L58+MAX(0,-R57)*IFERROR(SUMPRODUCT(IF('2. Investicijos'!$N$5:$N$6&gt;('2. Investicijos'!$H$5:$H$6*'7. Pasirinktinis scenarijus'!$C$6),'2. Investicijos'!$N$5:$N$6-('2. Investicijos'!$H$5:$H$6*'7. Pasirinktinis scenarijus'!$C$6),0),'2. Investicijos'!$O$5:$O$6/100)/SUM(IF('2. Investicijos'!$N$5:$N$6&gt;('2. Investicijos'!$H$5:$H$6*'7. Pasirinktinis scenarijus'!$C$6),'2. Investicijos'!$N$5:$N$6-('2. Investicijos'!$H$5:$H$6*'7. Pasirinktinis scenarijus'!$C$6),0)),0)</f>
        <v>#VALUE!</v>
      </c>
      <c r="K58" s="62">
        <f>SUM(AH$5:AH$6)</f>
        <v>0</v>
      </c>
      <c r="L58" s="62">
        <f>SUM(X$5:X$6)</f>
        <v>0</v>
      </c>
      <c r="M58" s="62">
        <f>SUM(AR$5:AR$6)</f>
        <v>0</v>
      </c>
      <c r="N58" s="62">
        <f>'3. Finansinės prielaidos'!K30+M58</f>
        <v>0</v>
      </c>
      <c r="O58" s="62">
        <f>'3. Finansinės prielaidos'!K31</f>
        <v>0</v>
      </c>
      <c r="P58" s="62">
        <f>'3. Finansinės prielaidos'!K32</f>
        <v>0</v>
      </c>
      <c r="Q58" s="62" t="e">
        <f t="shared" si="41"/>
        <v>#VALUE!</v>
      </c>
      <c r="R58" s="62" t="e">
        <f>R57+('3. Finansinės prielaidos'!K31-'3. Finansinės prielaidos'!J31)+Q58</f>
        <v>#VALUE!</v>
      </c>
      <c r="S58" s="62" t="e" cm="1">
        <f t="array" ref="S58">SUMPRODUCT(--(2034&gt;'2. Investicijos'!$F$5:$F$6),--(2034&lt;='2. Investicijos'!$F$5:$F$6+'2. Investicijos'!$G$5:$G$6),IFERROR(('2. Investicijos'!$M$5:$M$6+IF('2. Investicijos'!$N$5:$N$6&gt;('2. Investicijos'!$H$5:$H$6*'7. Pasirinktinis scenarijus'!$C$6),'2. Investicijos'!$N$5:$N$6-('2. Investicijos'!$H$5:$H$6*'7. Pasirinktinis scenarijus'!$C$6),0)+('2. Investicijos'!$H$5:$H$6*'7. Pasirinktinis scenarijus'!$C$6))/'2. Investicijos'!$G$5:$G$6,0))+SUMPRODUCT(--(2034&gt;'2. Investicijos'!$F$5:$F$6),--(2034&lt;='2. Investicijos'!$F$5:$F$6+'2. Investicijos'!$G$5:$G$6),IFERROR(('2. Investicijos'!$M$5:$M$6+IF('2. Investicijos'!$N$5:$N$6&gt;('2. Investicijos'!$H$5:$H$6*'7. Pasirinktinis scenarijus'!$C$6),'2. Investicijos'!$N$5:$N$6-('2. Investicijos'!$H$5:$H$6*'7. Pasirinktinis scenarijus'!$C$6),0))*(1-((2034-'2. Investicijos'!$F$5:$F$6)-1)/'2. Investicijos'!$G$5:$G$6),0)*'5. 0% scenarijus'!$C$5)</f>
        <v>#VALUE!</v>
      </c>
      <c r="T58" s="62" t="e">
        <f>'3. Finansinės prielaidos'!K29+S58+G58</f>
        <v>#VALUE!</v>
      </c>
      <c r="U58" s="62" t="e">
        <f t="shared" si="42"/>
        <v>#VALUE!</v>
      </c>
      <c r="V58" s="72" t="e">
        <f t="shared" si="43"/>
        <v>#VALUE!</v>
      </c>
      <c r="W58" s="72" t="e">
        <f t="shared" si="44"/>
        <v>#VALUE!</v>
      </c>
      <c r="X58" s="57" t="e">
        <f t="shared" si="45"/>
        <v>#VALUE!</v>
      </c>
      <c r="Y58" s="57" t="e">
        <f t="shared" si="46"/>
        <v>#VALUE!</v>
      </c>
      <c r="Z58" s="57"/>
      <c r="AA58" s="57"/>
      <c r="AB58" s="57"/>
      <c r="AC58" s="57"/>
      <c r="AD58" s="57"/>
      <c r="AE58" s="57"/>
      <c r="AF58" s="57"/>
      <c r="AG58" s="57"/>
      <c r="AH58" s="57"/>
      <c r="AI58" s="57"/>
      <c r="AJ58" s="57"/>
      <c r="AK58" s="57"/>
      <c r="AL58" s="57"/>
      <c r="AM58" s="57"/>
      <c r="AN58" s="57"/>
      <c r="AO58" s="57"/>
      <c r="AP58" s="57"/>
      <c r="AQ58" s="57"/>
      <c r="AR58" s="57"/>
      <c r="AS58" s="57"/>
    </row>
    <row r="59" spans="1:45">
      <c r="A59" s="57">
        <v>2</v>
      </c>
      <c r="B59" s="57">
        <v>2035</v>
      </c>
      <c r="C59" s="62">
        <f>SUM('4. Metinis CAPEX'!O$9:O$10)</f>
        <v>0</v>
      </c>
      <c r="D59" s="62" cm="1">
        <f t="array" ref="D59">SUMPRODUCT('4. Metinis CAPEX'!O$9:O$10,IFERROR('2. Investicijos'!$N$5:$N$6/'2. Investicijos'!$H$5:$H$6,0))</f>
        <v>0</v>
      </c>
      <c r="E59" s="62" cm="1">
        <f t="array" ref="E59">SUMPRODUCT('4. Metinis CAPEX'!O$9:O$10,IFERROR(('2. Investicijos'!$I$5:$I$6+'2. Investicijos'!$J$5:$J$6+'2. Investicijos'!$K$5:$K$6+'2. Investicijos'!$L$5:$L$6)/'2. Investicijos'!$H$5:$H$6,0))</f>
        <v>0</v>
      </c>
      <c r="F59" s="62" cm="1">
        <f t="array" ref="F59">SUM('2. Investicijos'!$H$5:$H$6*'7. Pasirinktinis scenarijus'!$C$6)</f>
        <v>0</v>
      </c>
      <c r="G59" s="62" cm="1">
        <f t="array" ref="G59">IF(AND(2035&gt;=2026,2035&lt;2026+'7. Pasirinktinis scenarijus'!$C$5),SUM('2. Investicijos'!$H$5:$H$6*'7. Pasirinktinis scenarijus'!$C$6)/'7. Pasirinktinis scenarijus'!$C$5,0)</f>
        <v>0</v>
      </c>
      <c r="H59" s="62">
        <f t="shared" si="40"/>
        <v>0</v>
      </c>
      <c r="I59" s="62">
        <f>SUM(O$5:O$6)</f>
        <v>0</v>
      </c>
      <c r="J59" s="62" t="e" cm="1">
        <f t="array" ref="J59">K59+L59+MAX(0,-R58)*IFERROR(SUMPRODUCT(IF('2. Investicijos'!$N$5:$N$6&gt;('2. Investicijos'!$H$5:$H$6*'7. Pasirinktinis scenarijus'!$C$6),'2. Investicijos'!$N$5:$N$6-('2. Investicijos'!$H$5:$H$6*'7. Pasirinktinis scenarijus'!$C$6),0),'2. Investicijos'!$O$5:$O$6/100)/SUM(IF('2. Investicijos'!$N$5:$N$6&gt;('2. Investicijos'!$H$5:$H$6*'7. Pasirinktinis scenarijus'!$C$6),'2. Investicijos'!$N$5:$N$6-('2. Investicijos'!$H$5:$H$6*'7. Pasirinktinis scenarijus'!$C$6),0)),0)</f>
        <v>#VALUE!</v>
      </c>
      <c r="K59" s="62">
        <f>SUM(AI$5:AI$6)</f>
        <v>0</v>
      </c>
      <c r="L59" s="62">
        <f>SUM(Y$5:Y$6)</f>
        <v>0</v>
      </c>
      <c r="M59" s="62">
        <f>SUM(AS$5:AS$6)</f>
        <v>0</v>
      </c>
      <c r="N59" s="62">
        <f>'3. Finansinės prielaidos'!L30+M59</f>
        <v>0</v>
      </c>
      <c r="O59" s="62">
        <f>'3. Finansinės prielaidos'!L31</f>
        <v>0</v>
      </c>
      <c r="P59" s="62">
        <f>'3. Finansinės prielaidos'!L32</f>
        <v>0</v>
      </c>
      <c r="Q59" s="62" t="e">
        <f t="shared" si="41"/>
        <v>#VALUE!</v>
      </c>
      <c r="R59" s="62" t="e">
        <f>R58+('3. Finansinės prielaidos'!L31-'3. Finansinės prielaidos'!K31)+Q59</f>
        <v>#VALUE!</v>
      </c>
      <c r="S59" s="62" t="e" cm="1">
        <f t="array" ref="S59">SUMPRODUCT(--(2035&gt;'2. Investicijos'!$F$5:$F$6),--(2035&lt;='2. Investicijos'!$F$5:$F$6+'2. Investicijos'!$G$5:$G$6),IFERROR(('2. Investicijos'!$M$5:$M$6+IF('2. Investicijos'!$N$5:$N$6&gt;('2. Investicijos'!$H$5:$H$6*'7. Pasirinktinis scenarijus'!$C$6),'2. Investicijos'!$N$5:$N$6-('2. Investicijos'!$H$5:$H$6*'7. Pasirinktinis scenarijus'!$C$6),0)+('2. Investicijos'!$H$5:$H$6*'7. Pasirinktinis scenarijus'!$C$6))/'2. Investicijos'!$G$5:$G$6,0))+SUMPRODUCT(--(2035&gt;'2. Investicijos'!$F$5:$F$6),--(2035&lt;='2. Investicijos'!$F$5:$F$6+'2. Investicijos'!$G$5:$G$6),IFERROR(('2. Investicijos'!$M$5:$M$6+IF('2. Investicijos'!$N$5:$N$6&gt;('2. Investicijos'!$H$5:$H$6*'7. Pasirinktinis scenarijus'!$C$6),'2. Investicijos'!$N$5:$N$6-('2. Investicijos'!$H$5:$H$6*'7. Pasirinktinis scenarijus'!$C$6),0))*(1-((2035-'2. Investicijos'!$F$5:$F$6)-1)/'2. Investicijos'!$G$5:$G$6),0)*'5. 0% scenarijus'!$C$5)</f>
        <v>#VALUE!</v>
      </c>
      <c r="T59" s="62" t="e">
        <f>'3. Finansinės prielaidos'!L29+S59+G59</f>
        <v>#VALUE!</v>
      </c>
      <c r="U59" s="62" t="e">
        <f t="shared" si="42"/>
        <v>#VALUE!</v>
      </c>
      <c r="V59" s="72" t="e">
        <f t="shared" si="43"/>
        <v>#VALUE!</v>
      </c>
      <c r="W59" s="72" t="e">
        <f t="shared" si="44"/>
        <v>#VALUE!</v>
      </c>
      <c r="X59" s="57" t="e">
        <f t="shared" si="45"/>
        <v>#VALUE!</v>
      </c>
      <c r="Y59" s="57" t="e">
        <f t="shared" si="46"/>
        <v>#VALUE!</v>
      </c>
      <c r="Z59" s="57"/>
      <c r="AA59" s="57"/>
      <c r="AB59" s="57"/>
      <c r="AC59" s="57"/>
      <c r="AD59" s="57"/>
      <c r="AE59" s="57"/>
      <c r="AF59" s="57"/>
      <c r="AG59" s="57"/>
      <c r="AH59" s="57"/>
      <c r="AI59" s="57"/>
      <c r="AJ59" s="57"/>
      <c r="AK59" s="57"/>
      <c r="AL59" s="57"/>
      <c r="AM59" s="57"/>
      <c r="AN59" s="57"/>
      <c r="AO59" s="57"/>
      <c r="AP59" s="57"/>
      <c r="AQ59" s="57"/>
      <c r="AR59" s="57"/>
      <c r="AS59" s="57"/>
    </row>
    <row r="60" spans="1:45">
      <c r="A60" s="57">
        <v>3</v>
      </c>
      <c r="B60" s="57">
        <v>2026</v>
      </c>
      <c r="C60" s="62">
        <f>SUM('4. Metinis CAPEX'!F$9:F$11)</f>
        <v>0</v>
      </c>
      <c r="D60" s="62" cm="1">
        <f t="array" ref="D60">SUMPRODUCT('4. Metinis CAPEX'!F$9:F$11,IFERROR('2. Investicijos'!$N$5:$N$7/'2. Investicijos'!$H$5:$H$7,0))</f>
        <v>0</v>
      </c>
      <c r="E60" s="62" cm="1">
        <f t="array" ref="E60">SUMPRODUCT('4. Metinis CAPEX'!F$9:F$11,IFERROR(('2. Investicijos'!$I$5:$I$7+'2. Investicijos'!$J$5:$J$7+'2. Investicijos'!$K$5:$K$7+'2. Investicijos'!$L$5:$L$7)/'2. Investicijos'!$H$5:$H$7,0))</f>
        <v>0</v>
      </c>
      <c r="F60" s="62" cm="1">
        <f t="array" ref="F60">SUM('2. Investicijos'!$H$5:$H$7*'7. Pasirinktinis scenarijus'!$C$6)</f>
        <v>0</v>
      </c>
      <c r="G60" s="62" cm="1">
        <f t="array" ref="G60">IF(AND(2026&gt;=2026,2026&lt;2026+'7. Pasirinktinis scenarijus'!$C$5),SUM('2. Investicijos'!$H$5:$H$7*'7. Pasirinktinis scenarijus'!$C$6)/'7. Pasirinktinis scenarijus'!$C$5,0)</f>
        <v>0</v>
      </c>
      <c r="H60" s="62">
        <f t="shared" si="40"/>
        <v>0</v>
      </c>
      <c r="I60" s="62">
        <f>SUM(F$5:F$7)</f>
        <v>0</v>
      </c>
      <c r="J60" s="62">
        <f>0</f>
        <v>0</v>
      </c>
      <c r="K60" s="62">
        <f>SUM(Z$5:Z$7)</f>
        <v>0</v>
      </c>
      <c r="L60" s="62">
        <f>SUM(P$5:P$7)</f>
        <v>0</v>
      </c>
      <c r="M60" s="62">
        <f>SUM(AJ$5:AJ$7)</f>
        <v>0</v>
      </c>
      <c r="N60" s="62">
        <f>'3. Finansinės prielaidos'!C30+M60</f>
        <v>0</v>
      </c>
      <c r="O60" s="62">
        <f>'3. Finansinės prielaidos'!C31</f>
        <v>0</v>
      </c>
      <c r="P60" s="62">
        <f>'3. Finansinės prielaidos'!C32</f>
        <v>0</v>
      </c>
      <c r="Q60" s="62" t="e">
        <f t="shared" si="41"/>
        <v>#VALUE!</v>
      </c>
      <c r="R60" s="62" t="e">
        <f>O60+Q60</f>
        <v>#VALUE!</v>
      </c>
      <c r="S60" s="62" t="e" cm="1">
        <f t="array" ref="S60">SUMPRODUCT(--(2026&gt;'2. Investicijos'!$F$5:$F$7),--(2026&lt;='2. Investicijos'!$F$5:$F$7+'2. Investicijos'!$G$5:$G$7),IFERROR(('2. Investicijos'!$M$5:$M$7+IF('2. Investicijos'!$N$5:$N$7&gt;('2. Investicijos'!$H$5:$H$7*'7. Pasirinktinis scenarijus'!$C$6),'2. Investicijos'!$N$5:$N$7-('2. Investicijos'!$H$5:$H$7*'7. Pasirinktinis scenarijus'!$C$6),0)+('2. Investicijos'!$H$5:$H$7*'7. Pasirinktinis scenarijus'!$C$6))/'2. Investicijos'!$G$5:$G$7,0))+SUMPRODUCT(--(2026&gt;'2. Investicijos'!$F$5:$F$7),--(2026&lt;='2. Investicijos'!$F$5:$F$7+'2. Investicijos'!$G$5:$G$7),IFERROR(('2. Investicijos'!$M$5:$M$7+IF('2. Investicijos'!$N$5:$N$7&gt;('2. Investicijos'!$H$5:$H$7*'7. Pasirinktinis scenarijus'!$C$6),'2. Investicijos'!$N$5:$N$7-('2. Investicijos'!$H$5:$H$7*'7. Pasirinktinis scenarijus'!$C$6),0))*(1-((2026-'2. Investicijos'!$F$5:$F$7)-1)/'2. Investicijos'!$G$5:$G$7),0)*'5. 0% scenarijus'!$C$5)</f>
        <v>#VALUE!</v>
      </c>
      <c r="T60" s="62" t="e">
        <f>'3. Finansinės prielaidos'!C29+S60+G60</f>
        <v>#VALUE!</v>
      </c>
      <c r="U60" s="62" t="e">
        <f t="shared" si="42"/>
        <v>#VALUE!</v>
      </c>
      <c r="V60" s="72" t="e">
        <f t="shared" si="43"/>
        <v>#VALUE!</v>
      </c>
      <c r="W60" s="72" t="e">
        <f t="shared" si="44"/>
        <v>#VALUE!</v>
      </c>
      <c r="X60" s="57" t="e">
        <f t="shared" si="45"/>
        <v>#VALUE!</v>
      </c>
      <c r="Y60" s="57" t="e">
        <f t="shared" si="46"/>
        <v>#VALUE!</v>
      </c>
      <c r="Z60" s="57"/>
      <c r="AA60" s="57"/>
      <c r="AB60" s="57"/>
      <c r="AC60" s="57"/>
      <c r="AD60" s="57"/>
      <c r="AE60" s="57"/>
      <c r="AF60" s="57"/>
      <c r="AG60" s="57"/>
      <c r="AH60" s="57"/>
      <c r="AI60" s="57"/>
      <c r="AJ60" s="57"/>
      <c r="AK60" s="57"/>
      <c r="AL60" s="57"/>
      <c r="AM60" s="57"/>
      <c r="AN60" s="57"/>
      <c r="AO60" s="57"/>
      <c r="AP60" s="57"/>
      <c r="AQ60" s="57"/>
      <c r="AR60" s="57"/>
      <c r="AS60" s="57"/>
    </row>
    <row r="61" spans="1:45">
      <c r="A61" s="57">
        <v>3</v>
      </c>
      <c r="B61" s="57">
        <v>2027</v>
      </c>
      <c r="C61" s="62">
        <f>SUM('4. Metinis CAPEX'!G$9:G$11)</f>
        <v>0</v>
      </c>
      <c r="D61" s="62" cm="1">
        <f t="array" ref="D61">SUMPRODUCT('4. Metinis CAPEX'!G$9:G$11,IFERROR('2. Investicijos'!$N$5:$N$7/'2. Investicijos'!$H$5:$H$7,0))</f>
        <v>0</v>
      </c>
      <c r="E61" s="62" cm="1">
        <f t="array" ref="E61">SUMPRODUCT('4. Metinis CAPEX'!G$9:G$11,IFERROR(('2. Investicijos'!$I$5:$I$7+'2. Investicijos'!$J$5:$J$7+'2. Investicijos'!$K$5:$K$7+'2. Investicijos'!$L$5:$L$7)/'2. Investicijos'!$H$5:$H$7,0))</f>
        <v>0</v>
      </c>
      <c r="F61" s="62" cm="1">
        <f t="array" ref="F61">SUM('2. Investicijos'!$H$5:$H$7*'7. Pasirinktinis scenarijus'!$C$6)</f>
        <v>0</v>
      </c>
      <c r="G61" s="62" cm="1">
        <f t="array" ref="G61">IF(AND(2027&gt;=2026,2027&lt;2026+'7. Pasirinktinis scenarijus'!$C$5),SUM('2. Investicijos'!$H$5:$H$7*'7. Pasirinktinis scenarijus'!$C$6)/'7. Pasirinktinis scenarijus'!$C$5,0)</f>
        <v>0</v>
      </c>
      <c r="H61" s="62">
        <f t="shared" si="40"/>
        <v>0</v>
      </c>
      <c r="I61" s="62">
        <f>SUM(G$5:G$7)</f>
        <v>0</v>
      </c>
      <c r="J61" s="62" t="e" cm="1">
        <f t="array" ref="J61">K61+L61+MAX(0,-R60)*IFERROR(SUMPRODUCT(IF('2. Investicijos'!$N$5:$N$7&gt;('2. Investicijos'!$H$5:$H$7*'7. Pasirinktinis scenarijus'!$C$6),'2. Investicijos'!$N$5:$N$7-('2. Investicijos'!$H$5:$H$7*'7. Pasirinktinis scenarijus'!$C$6),0),'2. Investicijos'!$O$5:$O$7/100)/SUM(IF('2. Investicijos'!$N$5:$N$7&gt;('2. Investicijos'!$H$5:$H$7*'7. Pasirinktinis scenarijus'!$C$6),'2. Investicijos'!$N$5:$N$7-('2. Investicijos'!$H$5:$H$7*'7. Pasirinktinis scenarijus'!$C$6),0)),0)</f>
        <v>#VALUE!</v>
      </c>
      <c r="K61" s="62">
        <f>SUM(AA$5:AA$7)</f>
        <v>0</v>
      </c>
      <c r="L61" s="62">
        <f>SUM(Q$5:Q$7)</f>
        <v>0</v>
      </c>
      <c r="M61" s="62">
        <f>SUM(AK$5:AK$7)</f>
        <v>0</v>
      </c>
      <c r="N61" s="62">
        <f>'3. Finansinės prielaidos'!D30+M61</f>
        <v>0</v>
      </c>
      <c r="O61" s="62">
        <f>'3. Finansinės prielaidos'!D31</f>
        <v>0</v>
      </c>
      <c r="P61" s="62">
        <f>'3. Finansinės prielaidos'!D32</f>
        <v>0</v>
      </c>
      <c r="Q61" s="62" t="e">
        <f t="shared" si="41"/>
        <v>#VALUE!</v>
      </c>
      <c r="R61" s="62" t="e">
        <f>R60+('3. Finansinės prielaidos'!D31-'3. Finansinės prielaidos'!C31)+Q61</f>
        <v>#VALUE!</v>
      </c>
      <c r="S61" s="62" t="e" cm="1">
        <f t="array" ref="S61">SUMPRODUCT(--(2027&gt;'2. Investicijos'!$F$5:$F$7),--(2027&lt;='2. Investicijos'!$F$5:$F$7+'2. Investicijos'!$G$5:$G$7),IFERROR(('2. Investicijos'!$M$5:$M$7+IF('2. Investicijos'!$N$5:$N$7&gt;('2. Investicijos'!$H$5:$H$7*'7. Pasirinktinis scenarijus'!$C$6),'2. Investicijos'!$N$5:$N$7-('2. Investicijos'!$H$5:$H$7*'7. Pasirinktinis scenarijus'!$C$6),0)+('2. Investicijos'!$H$5:$H$7*'7. Pasirinktinis scenarijus'!$C$6))/'2. Investicijos'!$G$5:$G$7,0))+SUMPRODUCT(--(2027&gt;'2. Investicijos'!$F$5:$F$7),--(2027&lt;='2. Investicijos'!$F$5:$F$7+'2. Investicijos'!$G$5:$G$7),IFERROR(('2. Investicijos'!$M$5:$M$7+IF('2. Investicijos'!$N$5:$N$7&gt;('2. Investicijos'!$H$5:$H$7*'7. Pasirinktinis scenarijus'!$C$6),'2. Investicijos'!$N$5:$N$7-('2. Investicijos'!$H$5:$H$7*'7. Pasirinktinis scenarijus'!$C$6),0))*(1-((2027-'2. Investicijos'!$F$5:$F$7)-1)/'2. Investicijos'!$G$5:$G$7),0)*'5. 0% scenarijus'!$C$5)</f>
        <v>#VALUE!</v>
      </c>
      <c r="T61" s="62" t="e">
        <f>'3. Finansinės prielaidos'!D29+S61+G61</f>
        <v>#VALUE!</v>
      </c>
      <c r="U61" s="62" t="e">
        <f t="shared" si="42"/>
        <v>#VALUE!</v>
      </c>
      <c r="V61" s="72" t="e">
        <f t="shared" si="43"/>
        <v>#VALUE!</v>
      </c>
      <c r="W61" s="72" t="e">
        <f t="shared" si="44"/>
        <v>#VALUE!</v>
      </c>
      <c r="X61" s="57" t="e">
        <f t="shared" si="45"/>
        <v>#VALUE!</v>
      </c>
      <c r="Y61" s="57" t="e">
        <f t="shared" si="46"/>
        <v>#VALUE!</v>
      </c>
      <c r="Z61" s="57"/>
      <c r="AA61" s="57"/>
      <c r="AB61" s="57"/>
      <c r="AC61" s="57"/>
      <c r="AD61" s="57"/>
      <c r="AE61" s="57"/>
      <c r="AF61" s="57"/>
      <c r="AG61" s="57"/>
      <c r="AH61" s="57"/>
      <c r="AI61" s="57"/>
      <c r="AJ61" s="57"/>
      <c r="AK61" s="57"/>
      <c r="AL61" s="57"/>
      <c r="AM61" s="57"/>
      <c r="AN61" s="57"/>
      <c r="AO61" s="57"/>
      <c r="AP61" s="57"/>
      <c r="AQ61" s="57"/>
      <c r="AR61" s="57"/>
      <c r="AS61" s="57"/>
    </row>
    <row r="62" spans="1:45">
      <c r="A62" s="57">
        <v>3</v>
      </c>
      <c r="B62" s="57">
        <v>2028</v>
      </c>
      <c r="C62" s="62">
        <f>SUM('4. Metinis CAPEX'!H$9:H$11)</f>
        <v>0</v>
      </c>
      <c r="D62" s="62" cm="1">
        <f t="array" ref="D62">SUMPRODUCT('4. Metinis CAPEX'!H$9:H$11,IFERROR('2. Investicijos'!$N$5:$N$7/'2. Investicijos'!$H$5:$H$7,0))</f>
        <v>0</v>
      </c>
      <c r="E62" s="62" cm="1">
        <f t="array" ref="E62">SUMPRODUCT('4. Metinis CAPEX'!H$9:H$11,IFERROR(('2. Investicijos'!$I$5:$I$7+'2. Investicijos'!$J$5:$J$7+'2. Investicijos'!$K$5:$K$7+'2. Investicijos'!$L$5:$L$7)/'2. Investicijos'!$H$5:$H$7,0))</f>
        <v>0</v>
      </c>
      <c r="F62" s="62" cm="1">
        <f t="array" ref="F62">SUM('2. Investicijos'!$H$5:$H$7*'7. Pasirinktinis scenarijus'!$C$6)</f>
        <v>0</v>
      </c>
      <c r="G62" s="62" cm="1">
        <f t="array" ref="G62">IF(AND(2028&gt;=2026,2028&lt;2026+'7. Pasirinktinis scenarijus'!$C$5),SUM('2. Investicijos'!$H$5:$H$7*'7. Pasirinktinis scenarijus'!$C$6)/'7. Pasirinktinis scenarijus'!$C$5,0)</f>
        <v>0</v>
      </c>
      <c r="H62" s="62">
        <f t="shared" si="40"/>
        <v>0</v>
      </c>
      <c r="I62" s="62">
        <f>SUM(H$5:H$7)</f>
        <v>0</v>
      </c>
      <c r="J62" s="62" t="e" cm="1">
        <f t="array" ref="J62">K62+L62+MAX(0,-R61)*IFERROR(SUMPRODUCT(IF('2. Investicijos'!$N$5:$N$7&gt;('2. Investicijos'!$H$5:$H$7*'7. Pasirinktinis scenarijus'!$C$6),'2. Investicijos'!$N$5:$N$7-('2. Investicijos'!$H$5:$H$7*'7. Pasirinktinis scenarijus'!$C$6),0),'2. Investicijos'!$O$5:$O$7/100)/SUM(IF('2. Investicijos'!$N$5:$N$7&gt;('2. Investicijos'!$H$5:$H$7*'7. Pasirinktinis scenarijus'!$C$6),'2. Investicijos'!$N$5:$N$7-('2. Investicijos'!$H$5:$H$7*'7. Pasirinktinis scenarijus'!$C$6),0)),0)</f>
        <v>#VALUE!</v>
      </c>
      <c r="K62" s="62">
        <f>SUM(AB$5:AB$7)</f>
        <v>0</v>
      </c>
      <c r="L62" s="62">
        <f>SUM(R$5:R$7)</f>
        <v>0</v>
      </c>
      <c r="M62" s="62">
        <f>SUM(AL$5:AL$7)</f>
        <v>0</v>
      </c>
      <c r="N62" s="62">
        <f>'3. Finansinės prielaidos'!E30+M62</f>
        <v>0</v>
      </c>
      <c r="O62" s="62">
        <f>'3. Finansinės prielaidos'!E31</f>
        <v>0</v>
      </c>
      <c r="P62" s="62">
        <f>'3. Finansinės prielaidos'!E32</f>
        <v>0</v>
      </c>
      <c r="Q62" s="62" t="e">
        <f t="shared" si="41"/>
        <v>#VALUE!</v>
      </c>
      <c r="R62" s="62" t="e">
        <f>R61+('3. Finansinės prielaidos'!E31-'3. Finansinės prielaidos'!D31)+Q62</f>
        <v>#VALUE!</v>
      </c>
      <c r="S62" s="62" t="e" cm="1">
        <f t="array" ref="S62">SUMPRODUCT(--(2028&gt;'2. Investicijos'!$F$5:$F$7),--(2028&lt;='2. Investicijos'!$F$5:$F$7+'2. Investicijos'!$G$5:$G$7),IFERROR(('2. Investicijos'!$M$5:$M$7+IF('2. Investicijos'!$N$5:$N$7&gt;('2. Investicijos'!$H$5:$H$7*'7. Pasirinktinis scenarijus'!$C$6),'2. Investicijos'!$N$5:$N$7-('2. Investicijos'!$H$5:$H$7*'7. Pasirinktinis scenarijus'!$C$6),0)+('2. Investicijos'!$H$5:$H$7*'7. Pasirinktinis scenarijus'!$C$6))/'2. Investicijos'!$G$5:$G$7,0))+SUMPRODUCT(--(2028&gt;'2. Investicijos'!$F$5:$F$7),--(2028&lt;='2. Investicijos'!$F$5:$F$7+'2. Investicijos'!$G$5:$G$7),IFERROR(('2. Investicijos'!$M$5:$M$7+IF('2. Investicijos'!$N$5:$N$7&gt;('2. Investicijos'!$H$5:$H$7*'7. Pasirinktinis scenarijus'!$C$6),'2. Investicijos'!$N$5:$N$7-('2. Investicijos'!$H$5:$H$7*'7. Pasirinktinis scenarijus'!$C$6),0))*(1-((2028-'2. Investicijos'!$F$5:$F$7)-1)/'2. Investicijos'!$G$5:$G$7),0)*'5. 0% scenarijus'!$C$5)</f>
        <v>#VALUE!</v>
      </c>
      <c r="T62" s="62" t="e">
        <f>'3. Finansinės prielaidos'!E29+S62+G62</f>
        <v>#VALUE!</v>
      </c>
      <c r="U62" s="62" t="e">
        <f t="shared" si="42"/>
        <v>#VALUE!</v>
      </c>
      <c r="V62" s="72" t="e">
        <f t="shared" si="43"/>
        <v>#VALUE!</v>
      </c>
      <c r="W62" s="72" t="e">
        <f t="shared" si="44"/>
        <v>#VALUE!</v>
      </c>
      <c r="X62" s="57" t="e">
        <f t="shared" si="45"/>
        <v>#VALUE!</v>
      </c>
      <c r="Y62" s="57" t="e">
        <f t="shared" si="46"/>
        <v>#VALUE!</v>
      </c>
      <c r="Z62" s="57"/>
      <c r="AA62" s="57"/>
      <c r="AB62" s="57"/>
      <c r="AC62" s="57"/>
      <c r="AD62" s="57"/>
      <c r="AE62" s="57"/>
      <c r="AF62" s="57"/>
      <c r="AG62" s="57"/>
      <c r="AH62" s="57"/>
      <c r="AI62" s="57"/>
      <c r="AJ62" s="57"/>
      <c r="AK62" s="57"/>
      <c r="AL62" s="57"/>
      <c r="AM62" s="57"/>
      <c r="AN62" s="57"/>
      <c r="AO62" s="57"/>
      <c r="AP62" s="57"/>
      <c r="AQ62" s="57"/>
      <c r="AR62" s="57"/>
      <c r="AS62" s="57"/>
    </row>
    <row r="63" spans="1:45">
      <c r="A63" s="57">
        <v>3</v>
      </c>
      <c r="B63" s="57">
        <v>2029</v>
      </c>
      <c r="C63" s="62">
        <f>SUM('4. Metinis CAPEX'!I$9:I$11)</f>
        <v>0</v>
      </c>
      <c r="D63" s="62" cm="1">
        <f t="array" ref="D63">SUMPRODUCT('4. Metinis CAPEX'!I$9:I$11,IFERROR('2. Investicijos'!$N$5:$N$7/'2. Investicijos'!$H$5:$H$7,0))</f>
        <v>0</v>
      </c>
      <c r="E63" s="62" cm="1">
        <f t="array" ref="E63">SUMPRODUCT('4. Metinis CAPEX'!I$9:I$11,IFERROR(('2. Investicijos'!$I$5:$I$7+'2. Investicijos'!$J$5:$J$7+'2. Investicijos'!$K$5:$K$7+'2. Investicijos'!$L$5:$L$7)/'2. Investicijos'!$H$5:$H$7,0))</f>
        <v>0</v>
      </c>
      <c r="F63" s="62" cm="1">
        <f t="array" ref="F63">SUM('2. Investicijos'!$H$5:$H$7*'7. Pasirinktinis scenarijus'!$C$6)</f>
        <v>0</v>
      </c>
      <c r="G63" s="62" cm="1">
        <f t="array" ref="G63">IF(AND(2029&gt;=2026,2029&lt;2026+'7. Pasirinktinis scenarijus'!$C$5),SUM('2. Investicijos'!$H$5:$H$7*'7. Pasirinktinis scenarijus'!$C$6)/'7. Pasirinktinis scenarijus'!$C$5,0)</f>
        <v>0</v>
      </c>
      <c r="H63" s="62">
        <f t="shared" si="40"/>
        <v>0</v>
      </c>
      <c r="I63" s="62">
        <f>SUM(I$5:I$7)</f>
        <v>0</v>
      </c>
      <c r="J63" s="62" t="e" cm="1">
        <f t="array" ref="J63">K63+L63+MAX(0,-R62)*IFERROR(SUMPRODUCT(IF('2. Investicijos'!$N$5:$N$7&gt;('2. Investicijos'!$H$5:$H$7*'7. Pasirinktinis scenarijus'!$C$6),'2. Investicijos'!$N$5:$N$7-('2. Investicijos'!$H$5:$H$7*'7. Pasirinktinis scenarijus'!$C$6),0),'2. Investicijos'!$O$5:$O$7/100)/SUM(IF('2. Investicijos'!$N$5:$N$7&gt;('2. Investicijos'!$H$5:$H$7*'7. Pasirinktinis scenarijus'!$C$6),'2. Investicijos'!$N$5:$N$7-('2. Investicijos'!$H$5:$H$7*'7. Pasirinktinis scenarijus'!$C$6),0)),0)</f>
        <v>#VALUE!</v>
      </c>
      <c r="K63" s="62">
        <f>SUM(AC$5:AC$7)</f>
        <v>0</v>
      </c>
      <c r="L63" s="62">
        <f>SUM(S$5:S$7)</f>
        <v>0</v>
      </c>
      <c r="M63" s="62">
        <f>SUM(AM$5:AM$7)</f>
        <v>0</v>
      </c>
      <c r="N63" s="62">
        <f>'3. Finansinės prielaidos'!F30+M63</f>
        <v>0</v>
      </c>
      <c r="O63" s="62">
        <f>'3. Finansinės prielaidos'!F31</f>
        <v>0</v>
      </c>
      <c r="P63" s="62">
        <f>'3. Finansinės prielaidos'!F32</f>
        <v>0</v>
      </c>
      <c r="Q63" s="62" t="e">
        <f t="shared" si="41"/>
        <v>#VALUE!</v>
      </c>
      <c r="R63" s="62" t="e">
        <f>R62+('3. Finansinės prielaidos'!F31-'3. Finansinės prielaidos'!E31)+Q63</f>
        <v>#VALUE!</v>
      </c>
      <c r="S63" s="62" t="e" cm="1">
        <f t="array" ref="S63">SUMPRODUCT(--(2029&gt;'2. Investicijos'!$F$5:$F$7),--(2029&lt;='2. Investicijos'!$F$5:$F$7+'2. Investicijos'!$G$5:$G$7),IFERROR(('2. Investicijos'!$M$5:$M$7+IF('2. Investicijos'!$N$5:$N$7&gt;('2. Investicijos'!$H$5:$H$7*'7. Pasirinktinis scenarijus'!$C$6),'2. Investicijos'!$N$5:$N$7-('2. Investicijos'!$H$5:$H$7*'7. Pasirinktinis scenarijus'!$C$6),0)+('2. Investicijos'!$H$5:$H$7*'7. Pasirinktinis scenarijus'!$C$6))/'2. Investicijos'!$G$5:$G$7,0))+SUMPRODUCT(--(2029&gt;'2. Investicijos'!$F$5:$F$7),--(2029&lt;='2. Investicijos'!$F$5:$F$7+'2. Investicijos'!$G$5:$G$7),IFERROR(('2. Investicijos'!$M$5:$M$7+IF('2. Investicijos'!$N$5:$N$7&gt;('2. Investicijos'!$H$5:$H$7*'7. Pasirinktinis scenarijus'!$C$6),'2. Investicijos'!$N$5:$N$7-('2. Investicijos'!$H$5:$H$7*'7. Pasirinktinis scenarijus'!$C$6),0))*(1-((2029-'2. Investicijos'!$F$5:$F$7)-1)/'2. Investicijos'!$G$5:$G$7),0)*'5. 0% scenarijus'!$C$5)</f>
        <v>#VALUE!</v>
      </c>
      <c r="T63" s="62" t="e">
        <f>'3. Finansinės prielaidos'!F29+S63+G63</f>
        <v>#VALUE!</v>
      </c>
      <c r="U63" s="62" t="e">
        <f t="shared" si="42"/>
        <v>#VALUE!</v>
      </c>
      <c r="V63" s="72" t="e">
        <f t="shared" si="43"/>
        <v>#VALUE!</v>
      </c>
      <c r="W63" s="72" t="e">
        <f t="shared" si="44"/>
        <v>#VALUE!</v>
      </c>
      <c r="X63" s="57" t="e">
        <f t="shared" si="45"/>
        <v>#VALUE!</v>
      </c>
      <c r="Y63" s="57" t="e">
        <f t="shared" si="46"/>
        <v>#VALUE!</v>
      </c>
      <c r="Z63" s="57"/>
      <c r="AA63" s="57"/>
      <c r="AB63" s="57"/>
      <c r="AC63" s="57"/>
      <c r="AD63" s="57"/>
      <c r="AE63" s="57"/>
      <c r="AF63" s="57"/>
      <c r="AG63" s="57"/>
      <c r="AH63" s="57"/>
      <c r="AI63" s="57"/>
      <c r="AJ63" s="57"/>
      <c r="AK63" s="57"/>
      <c r="AL63" s="57"/>
      <c r="AM63" s="57"/>
      <c r="AN63" s="57"/>
      <c r="AO63" s="57"/>
      <c r="AP63" s="57"/>
      <c r="AQ63" s="57"/>
      <c r="AR63" s="57"/>
      <c r="AS63" s="57"/>
    </row>
    <row r="64" spans="1:45">
      <c r="A64" s="57">
        <v>3</v>
      </c>
      <c r="B64" s="57">
        <v>2030</v>
      </c>
      <c r="C64" s="62">
        <f>SUM('4. Metinis CAPEX'!J$9:J$11)</f>
        <v>0</v>
      </c>
      <c r="D64" s="62" cm="1">
        <f t="array" ref="D64">SUMPRODUCT('4. Metinis CAPEX'!J$9:J$11,IFERROR('2. Investicijos'!$N$5:$N$7/'2. Investicijos'!$H$5:$H$7,0))</f>
        <v>0</v>
      </c>
      <c r="E64" s="62" cm="1">
        <f t="array" ref="E64">SUMPRODUCT('4. Metinis CAPEX'!J$9:J$11,IFERROR(('2. Investicijos'!$I$5:$I$7+'2. Investicijos'!$J$5:$J$7+'2. Investicijos'!$K$5:$K$7+'2. Investicijos'!$L$5:$L$7)/'2. Investicijos'!$H$5:$H$7,0))</f>
        <v>0</v>
      </c>
      <c r="F64" s="62" cm="1">
        <f t="array" ref="F64">SUM('2. Investicijos'!$H$5:$H$7*'7. Pasirinktinis scenarijus'!$C$6)</f>
        <v>0</v>
      </c>
      <c r="G64" s="62" cm="1">
        <f t="array" ref="G64">IF(AND(2030&gt;=2026,2030&lt;2026+'7. Pasirinktinis scenarijus'!$C$5),SUM('2. Investicijos'!$H$5:$H$7*'7. Pasirinktinis scenarijus'!$C$6)/'7. Pasirinktinis scenarijus'!$C$5,0)</f>
        <v>0</v>
      </c>
      <c r="H64" s="62">
        <f t="shared" si="40"/>
        <v>0</v>
      </c>
      <c r="I64" s="62">
        <f>SUM(J$5:J$7)</f>
        <v>0</v>
      </c>
      <c r="J64" s="62" t="e" cm="1">
        <f t="array" ref="J64">K64+L64+MAX(0,-R63)*IFERROR(SUMPRODUCT(IF('2. Investicijos'!$N$5:$N$7&gt;('2. Investicijos'!$H$5:$H$7*'7. Pasirinktinis scenarijus'!$C$6),'2. Investicijos'!$N$5:$N$7-('2. Investicijos'!$H$5:$H$7*'7. Pasirinktinis scenarijus'!$C$6),0),'2. Investicijos'!$O$5:$O$7/100)/SUM(IF('2. Investicijos'!$N$5:$N$7&gt;('2. Investicijos'!$H$5:$H$7*'7. Pasirinktinis scenarijus'!$C$6),'2. Investicijos'!$N$5:$N$7-('2. Investicijos'!$H$5:$H$7*'7. Pasirinktinis scenarijus'!$C$6),0)),0)</f>
        <v>#VALUE!</v>
      </c>
      <c r="K64" s="62">
        <f>SUM(AD$5:AD$7)</f>
        <v>0</v>
      </c>
      <c r="L64" s="62">
        <f>SUM(T$5:T$7)</f>
        <v>0</v>
      </c>
      <c r="M64" s="62">
        <f>SUM(AN$5:AN$7)</f>
        <v>0</v>
      </c>
      <c r="N64" s="62">
        <f>'3. Finansinės prielaidos'!G30+M64</f>
        <v>0</v>
      </c>
      <c r="O64" s="62">
        <f>'3. Finansinės prielaidos'!G31</f>
        <v>0</v>
      </c>
      <c r="P64" s="62">
        <f>'3. Finansinės prielaidos'!G32</f>
        <v>0</v>
      </c>
      <c r="Q64" s="62" t="e">
        <f t="shared" si="41"/>
        <v>#VALUE!</v>
      </c>
      <c r="R64" s="62" t="e">
        <f>R63+('3. Finansinės prielaidos'!G31-'3. Finansinės prielaidos'!F31)+Q64</f>
        <v>#VALUE!</v>
      </c>
      <c r="S64" s="62" t="e" cm="1">
        <f t="array" ref="S64">SUMPRODUCT(--(2030&gt;'2. Investicijos'!$F$5:$F$7),--(2030&lt;='2. Investicijos'!$F$5:$F$7+'2. Investicijos'!$G$5:$G$7),IFERROR(('2. Investicijos'!$M$5:$M$7+IF('2. Investicijos'!$N$5:$N$7&gt;('2. Investicijos'!$H$5:$H$7*'7. Pasirinktinis scenarijus'!$C$6),'2. Investicijos'!$N$5:$N$7-('2. Investicijos'!$H$5:$H$7*'7. Pasirinktinis scenarijus'!$C$6),0)+('2. Investicijos'!$H$5:$H$7*'7. Pasirinktinis scenarijus'!$C$6))/'2. Investicijos'!$G$5:$G$7,0))+SUMPRODUCT(--(2030&gt;'2. Investicijos'!$F$5:$F$7),--(2030&lt;='2. Investicijos'!$F$5:$F$7+'2. Investicijos'!$G$5:$G$7),IFERROR(('2. Investicijos'!$M$5:$M$7+IF('2. Investicijos'!$N$5:$N$7&gt;('2. Investicijos'!$H$5:$H$7*'7. Pasirinktinis scenarijus'!$C$6),'2. Investicijos'!$N$5:$N$7-('2. Investicijos'!$H$5:$H$7*'7. Pasirinktinis scenarijus'!$C$6),0))*(1-((2030-'2. Investicijos'!$F$5:$F$7)-1)/'2. Investicijos'!$G$5:$G$7),0)*'5. 0% scenarijus'!$C$5)</f>
        <v>#VALUE!</v>
      </c>
      <c r="T64" s="62" t="e">
        <f>'3. Finansinės prielaidos'!G29+S64+G64</f>
        <v>#VALUE!</v>
      </c>
      <c r="U64" s="62" t="e">
        <f t="shared" si="42"/>
        <v>#VALUE!</v>
      </c>
      <c r="V64" s="72" t="e">
        <f t="shared" si="43"/>
        <v>#VALUE!</v>
      </c>
      <c r="W64" s="72" t="e">
        <f t="shared" si="44"/>
        <v>#VALUE!</v>
      </c>
      <c r="X64" s="57" t="e">
        <f t="shared" si="45"/>
        <v>#VALUE!</v>
      </c>
      <c r="Y64" s="57" t="e">
        <f t="shared" si="46"/>
        <v>#VALUE!</v>
      </c>
      <c r="Z64" s="57"/>
      <c r="AA64" s="57"/>
      <c r="AB64" s="57"/>
      <c r="AC64" s="57"/>
      <c r="AD64" s="57"/>
      <c r="AE64" s="57"/>
      <c r="AF64" s="57"/>
      <c r="AG64" s="57"/>
      <c r="AH64" s="57"/>
      <c r="AI64" s="57"/>
      <c r="AJ64" s="57"/>
      <c r="AK64" s="57"/>
      <c r="AL64" s="57"/>
      <c r="AM64" s="57"/>
      <c r="AN64" s="57"/>
      <c r="AO64" s="57"/>
      <c r="AP64" s="57"/>
      <c r="AQ64" s="57"/>
      <c r="AR64" s="57"/>
      <c r="AS64" s="57"/>
    </row>
    <row r="65" spans="1:45">
      <c r="A65" s="57">
        <v>3</v>
      </c>
      <c r="B65" s="57">
        <v>2031</v>
      </c>
      <c r="C65" s="62">
        <f>SUM('4. Metinis CAPEX'!K$9:K$11)</f>
        <v>0</v>
      </c>
      <c r="D65" s="62" cm="1">
        <f t="array" ref="D65">SUMPRODUCT('4. Metinis CAPEX'!K$9:K$11,IFERROR('2. Investicijos'!$N$5:$N$7/'2. Investicijos'!$H$5:$H$7,0))</f>
        <v>0</v>
      </c>
      <c r="E65" s="62" cm="1">
        <f t="array" ref="E65">SUMPRODUCT('4. Metinis CAPEX'!K$9:K$11,IFERROR(('2. Investicijos'!$I$5:$I$7+'2. Investicijos'!$J$5:$J$7+'2. Investicijos'!$K$5:$K$7+'2. Investicijos'!$L$5:$L$7)/'2. Investicijos'!$H$5:$H$7,0))</f>
        <v>0</v>
      </c>
      <c r="F65" s="62" cm="1">
        <f t="array" ref="F65">SUM('2. Investicijos'!$H$5:$H$7*'7. Pasirinktinis scenarijus'!$C$6)</f>
        <v>0</v>
      </c>
      <c r="G65" s="62" cm="1">
        <f t="array" ref="G65">IF(AND(2031&gt;=2026,2031&lt;2026+'7. Pasirinktinis scenarijus'!$C$5),SUM('2. Investicijos'!$H$5:$H$7*'7. Pasirinktinis scenarijus'!$C$6)/'7. Pasirinktinis scenarijus'!$C$5,0)</f>
        <v>0</v>
      </c>
      <c r="H65" s="62">
        <f t="shared" si="40"/>
        <v>0</v>
      </c>
      <c r="I65" s="62">
        <f>SUM(K$5:K$7)</f>
        <v>0</v>
      </c>
      <c r="J65" s="62" t="e" cm="1">
        <f t="array" ref="J65">K65+L65+MAX(0,-R64)*IFERROR(SUMPRODUCT(IF('2. Investicijos'!$N$5:$N$7&gt;('2. Investicijos'!$H$5:$H$7*'7. Pasirinktinis scenarijus'!$C$6),'2. Investicijos'!$N$5:$N$7-('2. Investicijos'!$H$5:$H$7*'7. Pasirinktinis scenarijus'!$C$6),0),'2. Investicijos'!$O$5:$O$7/100)/SUM(IF('2. Investicijos'!$N$5:$N$7&gt;('2. Investicijos'!$H$5:$H$7*'7. Pasirinktinis scenarijus'!$C$6),'2. Investicijos'!$N$5:$N$7-('2. Investicijos'!$H$5:$H$7*'7. Pasirinktinis scenarijus'!$C$6),0)),0)</f>
        <v>#VALUE!</v>
      </c>
      <c r="K65" s="62">
        <f>SUM(AE$5:AE$7)</f>
        <v>0</v>
      </c>
      <c r="L65" s="62">
        <f>SUM(U$5:U$7)</f>
        <v>0</v>
      </c>
      <c r="M65" s="62">
        <f>SUM(AO$5:AO$7)</f>
        <v>0</v>
      </c>
      <c r="N65" s="62">
        <f>'3. Finansinės prielaidos'!H30+M65</f>
        <v>0</v>
      </c>
      <c r="O65" s="62">
        <f>'3. Finansinės prielaidos'!H31</f>
        <v>0</v>
      </c>
      <c r="P65" s="62">
        <f>'3. Finansinės prielaidos'!H32</f>
        <v>0</v>
      </c>
      <c r="Q65" s="62" t="e">
        <f t="shared" si="41"/>
        <v>#VALUE!</v>
      </c>
      <c r="R65" s="62" t="e">
        <f>R64+('3. Finansinės prielaidos'!H31-'3. Finansinės prielaidos'!G31)+Q65</f>
        <v>#VALUE!</v>
      </c>
      <c r="S65" s="62" t="e" cm="1">
        <f t="array" ref="S65">SUMPRODUCT(--(2031&gt;'2. Investicijos'!$F$5:$F$7),--(2031&lt;='2. Investicijos'!$F$5:$F$7+'2. Investicijos'!$G$5:$G$7),IFERROR(('2. Investicijos'!$M$5:$M$7+IF('2. Investicijos'!$N$5:$N$7&gt;('2. Investicijos'!$H$5:$H$7*'7. Pasirinktinis scenarijus'!$C$6),'2. Investicijos'!$N$5:$N$7-('2. Investicijos'!$H$5:$H$7*'7. Pasirinktinis scenarijus'!$C$6),0)+('2. Investicijos'!$H$5:$H$7*'7. Pasirinktinis scenarijus'!$C$6))/'2. Investicijos'!$G$5:$G$7,0))+SUMPRODUCT(--(2031&gt;'2. Investicijos'!$F$5:$F$7),--(2031&lt;='2. Investicijos'!$F$5:$F$7+'2. Investicijos'!$G$5:$G$7),IFERROR(('2. Investicijos'!$M$5:$M$7+IF('2. Investicijos'!$N$5:$N$7&gt;('2. Investicijos'!$H$5:$H$7*'7. Pasirinktinis scenarijus'!$C$6),'2. Investicijos'!$N$5:$N$7-('2. Investicijos'!$H$5:$H$7*'7. Pasirinktinis scenarijus'!$C$6),0))*(1-((2031-'2. Investicijos'!$F$5:$F$7)-1)/'2. Investicijos'!$G$5:$G$7),0)*'5. 0% scenarijus'!$C$5)</f>
        <v>#VALUE!</v>
      </c>
      <c r="T65" s="62" t="e">
        <f>'3. Finansinės prielaidos'!H29+S65+G65</f>
        <v>#VALUE!</v>
      </c>
      <c r="U65" s="62" t="e">
        <f t="shared" si="42"/>
        <v>#VALUE!</v>
      </c>
      <c r="V65" s="72" t="e">
        <f t="shared" si="43"/>
        <v>#VALUE!</v>
      </c>
      <c r="W65" s="72" t="e">
        <f t="shared" si="44"/>
        <v>#VALUE!</v>
      </c>
      <c r="X65" s="57" t="e">
        <f t="shared" si="45"/>
        <v>#VALUE!</v>
      </c>
      <c r="Y65" s="57" t="e">
        <f t="shared" si="46"/>
        <v>#VALUE!</v>
      </c>
      <c r="Z65" s="57"/>
      <c r="AA65" s="57"/>
      <c r="AB65" s="57"/>
      <c r="AC65" s="57"/>
      <c r="AD65" s="57"/>
      <c r="AE65" s="57"/>
      <c r="AF65" s="57"/>
      <c r="AG65" s="57"/>
      <c r="AH65" s="57"/>
      <c r="AI65" s="57"/>
      <c r="AJ65" s="57"/>
      <c r="AK65" s="57"/>
      <c r="AL65" s="57"/>
      <c r="AM65" s="57"/>
      <c r="AN65" s="57"/>
      <c r="AO65" s="57"/>
      <c r="AP65" s="57"/>
      <c r="AQ65" s="57"/>
      <c r="AR65" s="57"/>
      <c r="AS65" s="57"/>
    </row>
    <row r="66" spans="1:45">
      <c r="A66" s="57">
        <v>3</v>
      </c>
      <c r="B66" s="57">
        <v>2032</v>
      </c>
      <c r="C66" s="62">
        <f>SUM('4. Metinis CAPEX'!L$9:L$11)</f>
        <v>0</v>
      </c>
      <c r="D66" s="62" cm="1">
        <f t="array" ref="D66">SUMPRODUCT('4. Metinis CAPEX'!L$9:L$11,IFERROR('2. Investicijos'!$N$5:$N$7/'2. Investicijos'!$H$5:$H$7,0))</f>
        <v>0</v>
      </c>
      <c r="E66" s="62" cm="1">
        <f t="array" ref="E66">SUMPRODUCT('4. Metinis CAPEX'!L$9:L$11,IFERROR(('2. Investicijos'!$I$5:$I$7+'2. Investicijos'!$J$5:$J$7+'2. Investicijos'!$K$5:$K$7+'2. Investicijos'!$L$5:$L$7)/'2. Investicijos'!$H$5:$H$7,0))</f>
        <v>0</v>
      </c>
      <c r="F66" s="62" cm="1">
        <f t="array" ref="F66">SUM('2. Investicijos'!$H$5:$H$7*'7. Pasirinktinis scenarijus'!$C$6)</f>
        <v>0</v>
      </c>
      <c r="G66" s="62" cm="1">
        <f t="array" ref="G66">IF(AND(2032&gt;=2026,2032&lt;2026+'7. Pasirinktinis scenarijus'!$C$5),SUM('2. Investicijos'!$H$5:$H$7*'7. Pasirinktinis scenarijus'!$C$6)/'7. Pasirinktinis scenarijus'!$C$5,0)</f>
        <v>0</v>
      </c>
      <c r="H66" s="62">
        <f t="shared" si="40"/>
        <v>0</v>
      </c>
      <c r="I66" s="62">
        <f>SUM(L$5:L$7)</f>
        <v>0</v>
      </c>
      <c r="J66" s="62" t="e" cm="1">
        <f t="array" ref="J66">K66+L66+MAX(0,-R65)*IFERROR(SUMPRODUCT(IF('2. Investicijos'!$N$5:$N$7&gt;('2. Investicijos'!$H$5:$H$7*'7. Pasirinktinis scenarijus'!$C$6),'2. Investicijos'!$N$5:$N$7-('2. Investicijos'!$H$5:$H$7*'7. Pasirinktinis scenarijus'!$C$6),0),'2. Investicijos'!$O$5:$O$7/100)/SUM(IF('2. Investicijos'!$N$5:$N$7&gt;('2. Investicijos'!$H$5:$H$7*'7. Pasirinktinis scenarijus'!$C$6),'2. Investicijos'!$N$5:$N$7-('2. Investicijos'!$H$5:$H$7*'7. Pasirinktinis scenarijus'!$C$6),0)),0)</f>
        <v>#VALUE!</v>
      </c>
      <c r="K66" s="62">
        <f>SUM(AF$5:AF$7)</f>
        <v>0</v>
      </c>
      <c r="L66" s="62">
        <f>SUM(V$5:V$7)</f>
        <v>0</v>
      </c>
      <c r="M66" s="62">
        <f>SUM(AP$5:AP$7)</f>
        <v>0</v>
      </c>
      <c r="N66" s="62">
        <f>'3. Finansinės prielaidos'!I30+M66</f>
        <v>0</v>
      </c>
      <c r="O66" s="62">
        <f>'3. Finansinės prielaidos'!I31</f>
        <v>0</v>
      </c>
      <c r="P66" s="62">
        <f>'3. Finansinės prielaidos'!I32</f>
        <v>0</v>
      </c>
      <c r="Q66" s="62" t="e">
        <f t="shared" si="41"/>
        <v>#VALUE!</v>
      </c>
      <c r="R66" s="62" t="e">
        <f>R65+('3. Finansinės prielaidos'!I31-'3. Finansinės prielaidos'!H31)+Q66</f>
        <v>#VALUE!</v>
      </c>
      <c r="S66" s="62" t="e" cm="1">
        <f t="array" ref="S66">SUMPRODUCT(--(2032&gt;'2. Investicijos'!$F$5:$F$7),--(2032&lt;='2. Investicijos'!$F$5:$F$7+'2. Investicijos'!$G$5:$G$7),IFERROR(('2. Investicijos'!$M$5:$M$7+IF('2. Investicijos'!$N$5:$N$7&gt;('2. Investicijos'!$H$5:$H$7*'7. Pasirinktinis scenarijus'!$C$6),'2. Investicijos'!$N$5:$N$7-('2. Investicijos'!$H$5:$H$7*'7. Pasirinktinis scenarijus'!$C$6),0)+('2. Investicijos'!$H$5:$H$7*'7. Pasirinktinis scenarijus'!$C$6))/'2. Investicijos'!$G$5:$G$7,0))+SUMPRODUCT(--(2032&gt;'2. Investicijos'!$F$5:$F$7),--(2032&lt;='2. Investicijos'!$F$5:$F$7+'2. Investicijos'!$G$5:$G$7),IFERROR(('2. Investicijos'!$M$5:$M$7+IF('2. Investicijos'!$N$5:$N$7&gt;('2. Investicijos'!$H$5:$H$7*'7. Pasirinktinis scenarijus'!$C$6),'2. Investicijos'!$N$5:$N$7-('2. Investicijos'!$H$5:$H$7*'7. Pasirinktinis scenarijus'!$C$6),0))*(1-((2032-'2. Investicijos'!$F$5:$F$7)-1)/'2. Investicijos'!$G$5:$G$7),0)*'5. 0% scenarijus'!$C$5)</f>
        <v>#VALUE!</v>
      </c>
      <c r="T66" s="62" t="e">
        <f>'3. Finansinės prielaidos'!I29+S66+G66</f>
        <v>#VALUE!</v>
      </c>
      <c r="U66" s="62" t="e">
        <f t="shared" si="42"/>
        <v>#VALUE!</v>
      </c>
      <c r="V66" s="72" t="e">
        <f t="shared" si="43"/>
        <v>#VALUE!</v>
      </c>
      <c r="W66" s="72" t="e">
        <f t="shared" si="44"/>
        <v>#VALUE!</v>
      </c>
      <c r="X66" s="57" t="e">
        <f t="shared" si="45"/>
        <v>#VALUE!</v>
      </c>
      <c r="Y66" s="57" t="e">
        <f t="shared" si="46"/>
        <v>#VALUE!</v>
      </c>
      <c r="Z66" s="57"/>
      <c r="AA66" s="57"/>
      <c r="AB66" s="57"/>
      <c r="AC66" s="57"/>
      <c r="AD66" s="57"/>
      <c r="AE66" s="57"/>
      <c r="AF66" s="57"/>
      <c r="AG66" s="57"/>
      <c r="AH66" s="57"/>
      <c r="AI66" s="57"/>
      <c r="AJ66" s="57"/>
      <c r="AK66" s="57"/>
      <c r="AL66" s="57"/>
      <c r="AM66" s="57"/>
      <c r="AN66" s="57"/>
      <c r="AO66" s="57"/>
      <c r="AP66" s="57"/>
      <c r="AQ66" s="57"/>
      <c r="AR66" s="57"/>
      <c r="AS66" s="57"/>
    </row>
    <row r="67" spans="1:45">
      <c r="A67" s="57">
        <v>3</v>
      </c>
      <c r="B67" s="57">
        <v>2033</v>
      </c>
      <c r="C67" s="62">
        <f>SUM('4. Metinis CAPEX'!M$9:M$11)</f>
        <v>0</v>
      </c>
      <c r="D67" s="62" cm="1">
        <f t="array" ref="D67">SUMPRODUCT('4. Metinis CAPEX'!M$9:M$11,IFERROR('2. Investicijos'!$N$5:$N$7/'2. Investicijos'!$H$5:$H$7,0))</f>
        <v>0</v>
      </c>
      <c r="E67" s="62" cm="1">
        <f t="array" ref="E67">SUMPRODUCT('4. Metinis CAPEX'!M$9:M$11,IFERROR(('2. Investicijos'!$I$5:$I$7+'2. Investicijos'!$J$5:$J$7+'2. Investicijos'!$K$5:$K$7+'2. Investicijos'!$L$5:$L$7)/'2. Investicijos'!$H$5:$H$7,0))</f>
        <v>0</v>
      </c>
      <c r="F67" s="62" cm="1">
        <f t="array" ref="F67">SUM('2. Investicijos'!$H$5:$H$7*'7. Pasirinktinis scenarijus'!$C$6)</f>
        <v>0</v>
      </c>
      <c r="G67" s="62" cm="1">
        <f t="array" ref="G67">IF(AND(2033&gt;=2026,2033&lt;2026+'7. Pasirinktinis scenarijus'!$C$5),SUM('2. Investicijos'!$H$5:$H$7*'7. Pasirinktinis scenarijus'!$C$6)/'7. Pasirinktinis scenarijus'!$C$5,0)</f>
        <v>0</v>
      </c>
      <c r="H67" s="62">
        <f t="shared" si="40"/>
        <v>0</v>
      </c>
      <c r="I67" s="62">
        <f>SUM(M$5:M$7)</f>
        <v>0</v>
      </c>
      <c r="J67" s="62" t="e" cm="1">
        <f t="array" ref="J67">K67+L67+MAX(0,-R66)*IFERROR(SUMPRODUCT(IF('2. Investicijos'!$N$5:$N$7&gt;('2. Investicijos'!$H$5:$H$7*'7. Pasirinktinis scenarijus'!$C$6),'2. Investicijos'!$N$5:$N$7-('2. Investicijos'!$H$5:$H$7*'7. Pasirinktinis scenarijus'!$C$6),0),'2. Investicijos'!$O$5:$O$7/100)/SUM(IF('2. Investicijos'!$N$5:$N$7&gt;('2. Investicijos'!$H$5:$H$7*'7. Pasirinktinis scenarijus'!$C$6),'2. Investicijos'!$N$5:$N$7-('2. Investicijos'!$H$5:$H$7*'7. Pasirinktinis scenarijus'!$C$6),0)),0)</f>
        <v>#VALUE!</v>
      </c>
      <c r="K67" s="62">
        <f>SUM(AG$5:AG$7)</f>
        <v>0</v>
      </c>
      <c r="L67" s="62">
        <f>SUM(W$5:W$7)</f>
        <v>0</v>
      </c>
      <c r="M67" s="62">
        <f>SUM(AQ$5:AQ$7)</f>
        <v>0</v>
      </c>
      <c r="N67" s="62">
        <f>'3. Finansinės prielaidos'!J30+M67</f>
        <v>0</v>
      </c>
      <c r="O67" s="62">
        <f>'3. Finansinės prielaidos'!J31</f>
        <v>0</v>
      </c>
      <c r="P67" s="62">
        <f>'3. Finansinės prielaidos'!J32</f>
        <v>0</v>
      </c>
      <c r="Q67" s="62" t="e">
        <f t="shared" si="41"/>
        <v>#VALUE!</v>
      </c>
      <c r="R67" s="62" t="e">
        <f>R66+('3. Finansinės prielaidos'!J31-'3. Finansinės prielaidos'!I31)+Q67</f>
        <v>#VALUE!</v>
      </c>
      <c r="S67" s="62" t="e" cm="1">
        <f t="array" ref="S67">SUMPRODUCT(--(2033&gt;'2. Investicijos'!$F$5:$F$7),--(2033&lt;='2. Investicijos'!$F$5:$F$7+'2. Investicijos'!$G$5:$G$7),IFERROR(('2. Investicijos'!$M$5:$M$7+IF('2. Investicijos'!$N$5:$N$7&gt;('2. Investicijos'!$H$5:$H$7*'7. Pasirinktinis scenarijus'!$C$6),'2. Investicijos'!$N$5:$N$7-('2. Investicijos'!$H$5:$H$7*'7. Pasirinktinis scenarijus'!$C$6),0)+('2. Investicijos'!$H$5:$H$7*'7. Pasirinktinis scenarijus'!$C$6))/'2. Investicijos'!$G$5:$G$7,0))+SUMPRODUCT(--(2033&gt;'2. Investicijos'!$F$5:$F$7),--(2033&lt;='2. Investicijos'!$F$5:$F$7+'2. Investicijos'!$G$5:$G$7),IFERROR(('2. Investicijos'!$M$5:$M$7+IF('2. Investicijos'!$N$5:$N$7&gt;('2. Investicijos'!$H$5:$H$7*'7. Pasirinktinis scenarijus'!$C$6),'2. Investicijos'!$N$5:$N$7-('2. Investicijos'!$H$5:$H$7*'7. Pasirinktinis scenarijus'!$C$6),0))*(1-((2033-'2. Investicijos'!$F$5:$F$7)-1)/'2. Investicijos'!$G$5:$G$7),0)*'5. 0% scenarijus'!$C$5)</f>
        <v>#VALUE!</v>
      </c>
      <c r="T67" s="62" t="e">
        <f>'3. Finansinės prielaidos'!J29+S67+G67</f>
        <v>#VALUE!</v>
      </c>
      <c r="U67" s="62" t="e">
        <f t="shared" si="42"/>
        <v>#VALUE!</v>
      </c>
      <c r="V67" s="72" t="e">
        <f t="shared" si="43"/>
        <v>#VALUE!</v>
      </c>
      <c r="W67" s="72" t="e">
        <f t="shared" si="44"/>
        <v>#VALUE!</v>
      </c>
      <c r="X67" s="57" t="e">
        <f t="shared" si="45"/>
        <v>#VALUE!</v>
      </c>
      <c r="Y67" s="57" t="e">
        <f t="shared" si="46"/>
        <v>#VALUE!</v>
      </c>
      <c r="Z67" s="57"/>
      <c r="AA67" s="57"/>
      <c r="AB67" s="57"/>
      <c r="AC67" s="57"/>
      <c r="AD67" s="57"/>
      <c r="AE67" s="57"/>
      <c r="AF67" s="57"/>
      <c r="AG67" s="57"/>
      <c r="AH67" s="57"/>
      <c r="AI67" s="57"/>
      <c r="AJ67" s="57"/>
      <c r="AK67" s="57"/>
      <c r="AL67" s="57"/>
      <c r="AM67" s="57"/>
      <c r="AN67" s="57"/>
      <c r="AO67" s="57"/>
      <c r="AP67" s="57"/>
      <c r="AQ67" s="57"/>
      <c r="AR67" s="57"/>
      <c r="AS67" s="57"/>
    </row>
    <row r="68" spans="1:45">
      <c r="A68" s="57">
        <v>3</v>
      </c>
      <c r="B68" s="57">
        <v>2034</v>
      </c>
      <c r="C68" s="62">
        <f>SUM('4. Metinis CAPEX'!N$9:N$11)</f>
        <v>0</v>
      </c>
      <c r="D68" s="62" cm="1">
        <f t="array" ref="D68">SUMPRODUCT('4. Metinis CAPEX'!N$9:N$11,IFERROR('2. Investicijos'!$N$5:$N$7/'2. Investicijos'!$H$5:$H$7,0))</f>
        <v>0</v>
      </c>
      <c r="E68" s="62" cm="1">
        <f t="array" ref="E68">SUMPRODUCT('4. Metinis CAPEX'!N$9:N$11,IFERROR(('2. Investicijos'!$I$5:$I$7+'2. Investicijos'!$J$5:$J$7+'2. Investicijos'!$K$5:$K$7+'2. Investicijos'!$L$5:$L$7)/'2. Investicijos'!$H$5:$H$7,0))</f>
        <v>0</v>
      </c>
      <c r="F68" s="62" cm="1">
        <f t="array" ref="F68">SUM('2. Investicijos'!$H$5:$H$7*'7. Pasirinktinis scenarijus'!$C$6)</f>
        <v>0</v>
      </c>
      <c r="G68" s="62" cm="1">
        <f t="array" ref="G68">IF(AND(2034&gt;=2026,2034&lt;2026+'7. Pasirinktinis scenarijus'!$C$5),SUM('2. Investicijos'!$H$5:$H$7*'7. Pasirinktinis scenarijus'!$C$6)/'7. Pasirinktinis scenarijus'!$C$5,0)</f>
        <v>0</v>
      </c>
      <c r="H68" s="62">
        <f t="shared" si="40"/>
        <v>0</v>
      </c>
      <c r="I68" s="62">
        <f>SUM(N$5:N$7)</f>
        <v>0</v>
      </c>
      <c r="J68" s="62" t="e" cm="1">
        <f t="array" ref="J68">K68+L68+MAX(0,-R67)*IFERROR(SUMPRODUCT(IF('2. Investicijos'!$N$5:$N$7&gt;('2. Investicijos'!$H$5:$H$7*'7. Pasirinktinis scenarijus'!$C$6),'2. Investicijos'!$N$5:$N$7-('2. Investicijos'!$H$5:$H$7*'7. Pasirinktinis scenarijus'!$C$6),0),'2. Investicijos'!$O$5:$O$7/100)/SUM(IF('2. Investicijos'!$N$5:$N$7&gt;('2. Investicijos'!$H$5:$H$7*'7. Pasirinktinis scenarijus'!$C$6),'2. Investicijos'!$N$5:$N$7-('2. Investicijos'!$H$5:$H$7*'7. Pasirinktinis scenarijus'!$C$6),0)),0)</f>
        <v>#VALUE!</v>
      </c>
      <c r="K68" s="62">
        <f>SUM(AH$5:AH$7)</f>
        <v>0</v>
      </c>
      <c r="L68" s="62">
        <f>SUM(X$5:X$7)</f>
        <v>0</v>
      </c>
      <c r="M68" s="62">
        <f>SUM(AR$5:AR$7)</f>
        <v>0</v>
      </c>
      <c r="N68" s="62">
        <f>'3. Finansinės prielaidos'!K30+M68</f>
        <v>0</v>
      </c>
      <c r="O68" s="62">
        <f>'3. Finansinės prielaidos'!K31</f>
        <v>0</v>
      </c>
      <c r="P68" s="62">
        <f>'3. Finansinės prielaidos'!K32</f>
        <v>0</v>
      </c>
      <c r="Q68" s="62" t="e">
        <f t="shared" si="41"/>
        <v>#VALUE!</v>
      </c>
      <c r="R68" s="62" t="e">
        <f>R67+('3. Finansinės prielaidos'!K31-'3. Finansinės prielaidos'!J31)+Q68</f>
        <v>#VALUE!</v>
      </c>
      <c r="S68" s="62" t="e" cm="1">
        <f t="array" ref="S68">SUMPRODUCT(--(2034&gt;'2. Investicijos'!$F$5:$F$7),--(2034&lt;='2. Investicijos'!$F$5:$F$7+'2. Investicijos'!$G$5:$G$7),IFERROR(('2. Investicijos'!$M$5:$M$7+IF('2. Investicijos'!$N$5:$N$7&gt;('2. Investicijos'!$H$5:$H$7*'7. Pasirinktinis scenarijus'!$C$6),'2. Investicijos'!$N$5:$N$7-('2. Investicijos'!$H$5:$H$7*'7. Pasirinktinis scenarijus'!$C$6),0)+('2. Investicijos'!$H$5:$H$7*'7. Pasirinktinis scenarijus'!$C$6))/'2. Investicijos'!$G$5:$G$7,0))+SUMPRODUCT(--(2034&gt;'2. Investicijos'!$F$5:$F$7),--(2034&lt;='2. Investicijos'!$F$5:$F$7+'2. Investicijos'!$G$5:$G$7),IFERROR(('2. Investicijos'!$M$5:$M$7+IF('2. Investicijos'!$N$5:$N$7&gt;('2. Investicijos'!$H$5:$H$7*'7. Pasirinktinis scenarijus'!$C$6),'2. Investicijos'!$N$5:$N$7-('2. Investicijos'!$H$5:$H$7*'7. Pasirinktinis scenarijus'!$C$6),0))*(1-((2034-'2. Investicijos'!$F$5:$F$7)-1)/'2. Investicijos'!$G$5:$G$7),0)*'5. 0% scenarijus'!$C$5)</f>
        <v>#VALUE!</v>
      </c>
      <c r="T68" s="62" t="e">
        <f>'3. Finansinės prielaidos'!K29+S68+G68</f>
        <v>#VALUE!</v>
      </c>
      <c r="U68" s="62" t="e">
        <f t="shared" si="42"/>
        <v>#VALUE!</v>
      </c>
      <c r="V68" s="72" t="e">
        <f t="shared" si="43"/>
        <v>#VALUE!</v>
      </c>
      <c r="W68" s="72" t="e">
        <f t="shared" si="44"/>
        <v>#VALUE!</v>
      </c>
      <c r="X68" s="57" t="e">
        <f t="shared" si="45"/>
        <v>#VALUE!</v>
      </c>
      <c r="Y68" s="57" t="e">
        <f t="shared" si="46"/>
        <v>#VALUE!</v>
      </c>
      <c r="Z68" s="57"/>
      <c r="AA68" s="57"/>
      <c r="AB68" s="57"/>
      <c r="AC68" s="57"/>
      <c r="AD68" s="57"/>
      <c r="AE68" s="57"/>
      <c r="AF68" s="57"/>
      <c r="AG68" s="57"/>
      <c r="AH68" s="57"/>
      <c r="AI68" s="57"/>
      <c r="AJ68" s="57"/>
      <c r="AK68" s="57"/>
      <c r="AL68" s="57"/>
      <c r="AM68" s="57"/>
      <c r="AN68" s="57"/>
      <c r="AO68" s="57"/>
      <c r="AP68" s="57"/>
      <c r="AQ68" s="57"/>
      <c r="AR68" s="57"/>
      <c r="AS68" s="57"/>
    </row>
    <row r="69" spans="1:45">
      <c r="A69" s="57">
        <v>3</v>
      </c>
      <c r="B69" s="57">
        <v>2035</v>
      </c>
      <c r="C69" s="62">
        <f>SUM('4. Metinis CAPEX'!O$9:O$11)</f>
        <v>0</v>
      </c>
      <c r="D69" s="62" cm="1">
        <f t="array" ref="D69">SUMPRODUCT('4. Metinis CAPEX'!O$9:O$11,IFERROR('2. Investicijos'!$N$5:$N$7/'2. Investicijos'!$H$5:$H$7,0))</f>
        <v>0</v>
      </c>
      <c r="E69" s="62" cm="1">
        <f t="array" ref="E69">SUMPRODUCT('4. Metinis CAPEX'!O$9:O$11,IFERROR(('2. Investicijos'!$I$5:$I$7+'2. Investicijos'!$J$5:$J$7+'2. Investicijos'!$K$5:$K$7+'2. Investicijos'!$L$5:$L$7)/'2. Investicijos'!$H$5:$H$7,0))</f>
        <v>0</v>
      </c>
      <c r="F69" s="62" cm="1">
        <f t="array" ref="F69">SUM('2. Investicijos'!$H$5:$H$7*'7. Pasirinktinis scenarijus'!$C$6)</f>
        <v>0</v>
      </c>
      <c r="G69" s="62" cm="1">
        <f t="array" ref="G69">IF(AND(2035&gt;=2026,2035&lt;2026+'7. Pasirinktinis scenarijus'!$C$5),SUM('2. Investicijos'!$H$5:$H$7*'7. Pasirinktinis scenarijus'!$C$6)/'7. Pasirinktinis scenarijus'!$C$5,0)</f>
        <v>0</v>
      </c>
      <c r="H69" s="62">
        <f t="shared" si="40"/>
        <v>0</v>
      </c>
      <c r="I69" s="62">
        <f>SUM(O$5:O$7)</f>
        <v>0</v>
      </c>
      <c r="J69" s="62" t="e" cm="1">
        <f t="array" ref="J69">K69+L69+MAX(0,-R68)*IFERROR(SUMPRODUCT(IF('2. Investicijos'!$N$5:$N$7&gt;('2. Investicijos'!$H$5:$H$7*'7. Pasirinktinis scenarijus'!$C$6),'2. Investicijos'!$N$5:$N$7-('2. Investicijos'!$H$5:$H$7*'7. Pasirinktinis scenarijus'!$C$6),0),'2. Investicijos'!$O$5:$O$7/100)/SUM(IF('2. Investicijos'!$N$5:$N$7&gt;('2. Investicijos'!$H$5:$H$7*'7. Pasirinktinis scenarijus'!$C$6),'2. Investicijos'!$N$5:$N$7-('2. Investicijos'!$H$5:$H$7*'7. Pasirinktinis scenarijus'!$C$6),0)),0)</f>
        <v>#VALUE!</v>
      </c>
      <c r="K69" s="62">
        <f>SUM(AI$5:AI$7)</f>
        <v>0</v>
      </c>
      <c r="L69" s="62">
        <f>SUM(Y$5:Y$7)</f>
        <v>0</v>
      </c>
      <c r="M69" s="62">
        <f>SUM(AS$5:AS$7)</f>
        <v>0</v>
      </c>
      <c r="N69" s="62">
        <f>'3. Finansinės prielaidos'!L30+M69</f>
        <v>0</v>
      </c>
      <c r="O69" s="62">
        <f>'3. Finansinės prielaidos'!L31</f>
        <v>0</v>
      </c>
      <c r="P69" s="62">
        <f>'3. Finansinės prielaidos'!L32</f>
        <v>0</v>
      </c>
      <c r="Q69" s="62" t="e">
        <f t="shared" si="41"/>
        <v>#VALUE!</v>
      </c>
      <c r="R69" s="62" t="e">
        <f>R68+('3. Finansinės prielaidos'!L31-'3. Finansinės prielaidos'!K31)+Q69</f>
        <v>#VALUE!</v>
      </c>
      <c r="S69" s="62" t="e" cm="1">
        <f t="array" ref="S69">SUMPRODUCT(--(2035&gt;'2. Investicijos'!$F$5:$F$7),--(2035&lt;='2. Investicijos'!$F$5:$F$7+'2. Investicijos'!$G$5:$G$7),IFERROR(('2. Investicijos'!$M$5:$M$7+IF('2. Investicijos'!$N$5:$N$7&gt;('2. Investicijos'!$H$5:$H$7*'7. Pasirinktinis scenarijus'!$C$6),'2. Investicijos'!$N$5:$N$7-('2. Investicijos'!$H$5:$H$7*'7. Pasirinktinis scenarijus'!$C$6),0)+('2. Investicijos'!$H$5:$H$7*'7. Pasirinktinis scenarijus'!$C$6))/'2. Investicijos'!$G$5:$G$7,0))+SUMPRODUCT(--(2035&gt;'2. Investicijos'!$F$5:$F$7),--(2035&lt;='2. Investicijos'!$F$5:$F$7+'2. Investicijos'!$G$5:$G$7),IFERROR(('2. Investicijos'!$M$5:$M$7+IF('2. Investicijos'!$N$5:$N$7&gt;('2. Investicijos'!$H$5:$H$7*'7. Pasirinktinis scenarijus'!$C$6),'2. Investicijos'!$N$5:$N$7-('2. Investicijos'!$H$5:$H$7*'7. Pasirinktinis scenarijus'!$C$6),0))*(1-((2035-'2. Investicijos'!$F$5:$F$7)-1)/'2. Investicijos'!$G$5:$G$7),0)*'5. 0% scenarijus'!$C$5)</f>
        <v>#VALUE!</v>
      </c>
      <c r="T69" s="62" t="e">
        <f>'3. Finansinės prielaidos'!L29+S69+G69</f>
        <v>#VALUE!</v>
      </c>
      <c r="U69" s="62" t="e">
        <f t="shared" si="42"/>
        <v>#VALUE!</v>
      </c>
      <c r="V69" s="72" t="e">
        <f t="shared" si="43"/>
        <v>#VALUE!</v>
      </c>
      <c r="W69" s="72" t="e">
        <f t="shared" si="44"/>
        <v>#VALUE!</v>
      </c>
      <c r="X69" s="57" t="e">
        <f t="shared" si="45"/>
        <v>#VALUE!</v>
      </c>
      <c r="Y69" s="57" t="e">
        <f t="shared" si="46"/>
        <v>#VALUE!</v>
      </c>
      <c r="Z69" s="57"/>
      <c r="AA69" s="57"/>
      <c r="AB69" s="57"/>
      <c r="AC69" s="57"/>
      <c r="AD69" s="57"/>
      <c r="AE69" s="57"/>
      <c r="AF69" s="57"/>
      <c r="AG69" s="57"/>
      <c r="AH69" s="57"/>
      <c r="AI69" s="57"/>
      <c r="AJ69" s="57"/>
      <c r="AK69" s="57"/>
      <c r="AL69" s="57"/>
      <c r="AM69" s="57"/>
      <c r="AN69" s="57"/>
      <c r="AO69" s="57"/>
      <c r="AP69" s="57"/>
      <c r="AQ69" s="57"/>
      <c r="AR69" s="57"/>
      <c r="AS69" s="57"/>
    </row>
    <row r="70" spans="1:45">
      <c r="A70" s="57">
        <v>4</v>
      </c>
      <c r="B70" s="57">
        <v>2026</v>
      </c>
      <c r="C70" s="62">
        <f>SUM('4. Metinis CAPEX'!F$9:F$12)</f>
        <v>0</v>
      </c>
      <c r="D70" s="62" cm="1">
        <f t="array" ref="D70">SUMPRODUCT('4. Metinis CAPEX'!F$9:F$12,IFERROR('2. Investicijos'!$N$5:$N$8/'2. Investicijos'!$H$5:$H$8,0))</f>
        <v>0</v>
      </c>
      <c r="E70" s="62" cm="1">
        <f t="array" ref="E70">SUMPRODUCT('4. Metinis CAPEX'!F$9:F$12,IFERROR(('2. Investicijos'!$I$5:$I$8+'2. Investicijos'!$J$5:$J$8+'2. Investicijos'!$K$5:$K$8+'2. Investicijos'!$L$5:$L$8)/'2. Investicijos'!$H$5:$H$8,0))</f>
        <v>0</v>
      </c>
      <c r="F70" s="62" cm="1">
        <f t="array" ref="F70">SUM('2. Investicijos'!$H$5:$H$8*'7. Pasirinktinis scenarijus'!$C$6)</f>
        <v>0</v>
      </c>
      <c r="G70" s="62" cm="1">
        <f t="array" ref="G70">IF(AND(2026&gt;=2026,2026&lt;2026+'7. Pasirinktinis scenarijus'!$C$5),SUM('2. Investicijos'!$H$5:$H$8*'7. Pasirinktinis scenarijus'!$C$6)/'7. Pasirinktinis scenarijus'!$C$5,0)</f>
        <v>0</v>
      </c>
      <c r="H70" s="62">
        <f t="shared" si="40"/>
        <v>0</v>
      </c>
      <c r="I70" s="62">
        <f>SUM(F$5:F$8)</f>
        <v>0</v>
      </c>
      <c r="J70" s="62">
        <f>0</f>
        <v>0</v>
      </c>
      <c r="K70" s="62">
        <f>SUM(Z$5:Z$8)</f>
        <v>0</v>
      </c>
      <c r="L70" s="62">
        <f>SUM(P$5:P$8)</f>
        <v>0</v>
      </c>
      <c r="M70" s="62">
        <f>SUM(AJ$5:AJ$8)</f>
        <v>0</v>
      </c>
      <c r="N70" s="62">
        <f>'3. Finansinės prielaidos'!C30+M70</f>
        <v>0</v>
      </c>
      <c r="O70" s="62">
        <f>'3. Finansinės prielaidos'!C31</f>
        <v>0</v>
      </c>
      <c r="P70" s="62">
        <f>'3. Finansinės prielaidos'!C32</f>
        <v>0</v>
      </c>
      <c r="Q70" s="62" t="e">
        <f t="shared" si="41"/>
        <v>#VALUE!</v>
      </c>
      <c r="R70" s="62" t="e">
        <f>O70+Q70</f>
        <v>#VALUE!</v>
      </c>
      <c r="S70" s="62" t="e" cm="1">
        <f t="array" ref="S70">SUMPRODUCT(--(2026&gt;'2. Investicijos'!$F$5:$F$8),--(2026&lt;='2. Investicijos'!$F$5:$F$8+'2. Investicijos'!$G$5:$G$8),IFERROR(('2. Investicijos'!$M$5:$M$8+IF('2. Investicijos'!$N$5:$N$8&gt;('2. Investicijos'!$H$5:$H$8*'7. Pasirinktinis scenarijus'!$C$6),'2. Investicijos'!$N$5:$N$8-('2. Investicijos'!$H$5:$H$8*'7. Pasirinktinis scenarijus'!$C$6),0)+('2. Investicijos'!$H$5:$H$8*'7. Pasirinktinis scenarijus'!$C$6))/'2. Investicijos'!$G$5:$G$8,0))+SUMPRODUCT(--(2026&gt;'2. Investicijos'!$F$5:$F$8),--(2026&lt;='2. Investicijos'!$F$5:$F$8+'2. Investicijos'!$G$5:$G$8),IFERROR(('2. Investicijos'!$M$5:$M$8+IF('2. Investicijos'!$N$5:$N$8&gt;('2. Investicijos'!$H$5:$H$8*'7. Pasirinktinis scenarijus'!$C$6),'2. Investicijos'!$N$5:$N$8-('2. Investicijos'!$H$5:$H$8*'7. Pasirinktinis scenarijus'!$C$6),0))*(1-((2026-'2. Investicijos'!$F$5:$F$8)-1)/'2. Investicijos'!$G$5:$G$8),0)*'5. 0% scenarijus'!$C$5)</f>
        <v>#VALUE!</v>
      </c>
      <c r="T70" s="62" t="e">
        <f>'3. Finansinės prielaidos'!C29+S70+G70</f>
        <v>#VALUE!</v>
      </c>
      <c r="U70" s="62" t="e">
        <f t="shared" si="42"/>
        <v>#VALUE!</v>
      </c>
      <c r="V70" s="72" t="e">
        <f t="shared" si="43"/>
        <v>#VALUE!</v>
      </c>
      <c r="W70" s="72" t="e">
        <f t="shared" si="44"/>
        <v>#VALUE!</v>
      </c>
      <c r="X70" s="57" t="e">
        <f t="shared" si="45"/>
        <v>#VALUE!</v>
      </c>
      <c r="Y70" s="57" t="e">
        <f t="shared" si="46"/>
        <v>#VALUE!</v>
      </c>
      <c r="Z70" s="57"/>
      <c r="AA70" s="57"/>
      <c r="AB70" s="57"/>
      <c r="AC70" s="57"/>
      <c r="AD70" s="57"/>
      <c r="AE70" s="57"/>
      <c r="AF70" s="57"/>
      <c r="AG70" s="57"/>
      <c r="AH70" s="57"/>
      <c r="AI70" s="57"/>
      <c r="AJ70" s="57"/>
      <c r="AK70" s="57"/>
      <c r="AL70" s="57"/>
      <c r="AM70" s="57"/>
      <c r="AN70" s="57"/>
      <c r="AO70" s="57"/>
      <c r="AP70" s="57"/>
      <c r="AQ70" s="57"/>
      <c r="AR70" s="57"/>
      <c r="AS70" s="57"/>
    </row>
    <row r="71" spans="1:45">
      <c r="A71" s="57">
        <v>4</v>
      </c>
      <c r="B71" s="57">
        <v>2027</v>
      </c>
      <c r="C71" s="62">
        <f>SUM('4. Metinis CAPEX'!G$9:G$12)</f>
        <v>0</v>
      </c>
      <c r="D71" s="62" cm="1">
        <f t="array" ref="D71">SUMPRODUCT('4. Metinis CAPEX'!G$9:G$12,IFERROR('2. Investicijos'!$N$5:$N$8/'2. Investicijos'!$H$5:$H$8,0))</f>
        <v>0</v>
      </c>
      <c r="E71" s="62" cm="1">
        <f t="array" ref="E71">SUMPRODUCT('4. Metinis CAPEX'!G$9:G$12,IFERROR(('2. Investicijos'!$I$5:$I$8+'2. Investicijos'!$J$5:$J$8+'2. Investicijos'!$K$5:$K$8+'2. Investicijos'!$L$5:$L$8)/'2. Investicijos'!$H$5:$H$8,0))</f>
        <v>0</v>
      </c>
      <c r="F71" s="62" cm="1">
        <f t="array" ref="F71">SUM('2. Investicijos'!$H$5:$H$8*'7. Pasirinktinis scenarijus'!$C$6)</f>
        <v>0</v>
      </c>
      <c r="G71" s="62" cm="1">
        <f t="array" ref="G71">IF(AND(2027&gt;=2026,2027&lt;2026+'7. Pasirinktinis scenarijus'!$C$5),SUM('2. Investicijos'!$H$5:$H$8*'7. Pasirinktinis scenarijus'!$C$6)/'7. Pasirinktinis scenarijus'!$C$5,0)</f>
        <v>0</v>
      </c>
      <c r="H71" s="62">
        <f t="shared" si="40"/>
        <v>0</v>
      </c>
      <c r="I71" s="62">
        <f>SUM(G$5:G$8)</f>
        <v>0</v>
      </c>
      <c r="J71" s="62" t="e" cm="1">
        <f t="array" ref="J71">K71+L71+MAX(0,-R70)*IFERROR(SUMPRODUCT(IF('2. Investicijos'!$N$5:$N$8&gt;('2. Investicijos'!$H$5:$H$8*'7. Pasirinktinis scenarijus'!$C$6),'2. Investicijos'!$N$5:$N$8-('2. Investicijos'!$H$5:$H$8*'7. Pasirinktinis scenarijus'!$C$6),0),'2. Investicijos'!$O$5:$O$8/100)/SUM(IF('2. Investicijos'!$N$5:$N$8&gt;('2. Investicijos'!$H$5:$H$8*'7. Pasirinktinis scenarijus'!$C$6),'2. Investicijos'!$N$5:$N$8-('2. Investicijos'!$H$5:$H$8*'7. Pasirinktinis scenarijus'!$C$6),0)),0)</f>
        <v>#VALUE!</v>
      </c>
      <c r="K71" s="62">
        <f>SUM(AA$5:AA$8)</f>
        <v>0</v>
      </c>
      <c r="L71" s="62">
        <f>SUM(Q$5:Q$8)</f>
        <v>0</v>
      </c>
      <c r="M71" s="62">
        <f>SUM(AK$5:AK$8)</f>
        <v>0</v>
      </c>
      <c r="N71" s="62">
        <f>'3. Finansinės prielaidos'!D30+M71</f>
        <v>0</v>
      </c>
      <c r="O71" s="62">
        <f>'3. Finansinės prielaidos'!D31</f>
        <v>0</v>
      </c>
      <c r="P71" s="62">
        <f>'3. Finansinės prielaidos'!D32</f>
        <v>0</v>
      </c>
      <c r="Q71" s="62" t="e">
        <f t="shared" si="41"/>
        <v>#VALUE!</v>
      </c>
      <c r="R71" s="62" t="e">
        <f>R70+('3. Finansinės prielaidos'!D31-'3. Finansinės prielaidos'!C31)+Q71</f>
        <v>#VALUE!</v>
      </c>
      <c r="S71" s="62" t="e" cm="1">
        <f t="array" ref="S71">SUMPRODUCT(--(2027&gt;'2. Investicijos'!$F$5:$F$8),--(2027&lt;='2. Investicijos'!$F$5:$F$8+'2. Investicijos'!$G$5:$G$8),IFERROR(('2. Investicijos'!$M$5:$M$8+IF('2. Investicijos'!$N$5:$N$8&gt;('2. Investicijos'!$H$5:$H$8*'7. Pasirinktinis scenarijus'!$C$6),'2. Investicijos'!$N$5:$N$8-('2. Investicijos'!$H$5:$H$8*'7. Pasirinktinis scenarijus'!$C$6),0)+('2. Investicijos'!$H$5:$H$8*'7. Pasirinktinis scenarijus'!$C$6))/'2. Investicijos'!$G$5:$G$8,0))+SUMPRODUCT(--(2027&gt;'2. Investicijos'!$F$5:$F$8),--(2027&lt;='2. Investicijos'!$F$5:$F$8+'2. Investicijos'!$G$5:$G$8),IFERROR(('2. Investicijos'!$M$5:$M$8+IF('2. Investicijos'!$N$5:$N$8&gt;('2. Investicijos'!$H$5:$H$8*'7. Pasirinktinis scenarijus'!$C$6),'2. Investicijos'!$N$5:$N$8-('2. Investicijos'!$H$5:$H$8*'7. Pasirinktinis scenarijus'!$C$6),0))*(1-((2027-'2. Investicijos'!$F$5:$F$8)-1)/'2. Investicijos'!$G$5:$G$8),0)*'5. 0% scenarijus'!$C$5)</f>
        <v>#VALUE!</v>
      </c>
      <c r="T71" s="62" t="e">
        <f>'3. Finansinės prielaidos'!D29+S71+G71</f>
        <v>#VALUE!</v>
      </c>
      <c r="U71" s="62" t="e">
        <f t="shared" si="42"/>
        <v>#VALUE!</v>
      </c>
      <c r="V71" s="72" t="e">
        <f t="shared" si="43"/>
        <v>#VALUE!</v>
      </c>
      <c r="W71" s="72" t="e">
        <f t="shared" si="44"/>
        <v>#VALUE!</v>
      </c>
      <c r="X71" s="57" t="e">
        <f t="shared" si="45"/>
        <v>#VALUE!</v>
      </c>
      <c r="Y71" s="57" t="e">
        <f t="shared" si="46"/>
        <v>#VALUE!</v>
      </c>
      <c r="Z71" s="57"/>
      <c r="AA71" s="57"/>
      <c r="AB71" s="57"/>
      <c r="AC71" s="57"/>
      <c r="AD71" s="57"/>
      <c r="AE71" s="57"/>
      <c r="AF71" s="57"/>
      <c r="AG71" s="57"/>
      <c r="AH71" s="57"/>
      <c r="AI71" s="57"/>
      <c r="AJ71" s="57"/>
      <c r="AK71" s="57"/>
      <c r="AL71" s="57"/>
      <c r="AM71" s="57"/>
      <c r="AN71" s="57"/>
      <c r="AO71" s="57"/>
      <c r="AP71" s="57"/>
      <c r="AQ71" s="57"/>
      <c r="AR71" s="57"/>
      <c r="AS71" s="57"/>
    </row>
    <row r="72" spans="1:45">
      <c r="A72" s="57">
        <v>4</v>
      </c>
      <c r="B72" s="57">
        <v>2028</v>
      </c>
      <c r="C72" s="62">
        <f>SUM('4. Metinis CAPEX'!H$9:H$12)</f>
        <v>0</v>
      </c>
      <c r="D72" s="62" cm="1">
        <f t="array" ref="D72">SUMPRODUCT('4. Metinis CAPEX'!H$9:H$12,IFERROR('2. Investicijos'!$N$5:$N$8/'2. Investicijos'!$H$5:$H$8,0))</f>
        <v>0</v>
      </c>
      <c r="E72" s="62" cm="1">
        <f t="array" ref="E72">SUMPRODUCT('4. Metinis CAPEX'!H$9:H$12,IFERROR(('2. Investicijos'!$I$5:$I$8+'2. Investicijos'!$J$5:$J$8+'2. Investicijos'!$K$5:$K$8+'2. Investicijos'!$L$5:$L$8)/'2. Investicijos'!$H$5:$H$8,0))</f>
        <v>0</v>
      </c>
      <c r="F72" s="62" cm="1">
        <f t="array" ref="F72">SUM('2. Investicijos'!$H$5:$H$8*'7. Pasirinktinis scenarijus'!$C$6)</f>
        <v>0</v>
      </c>
      <c r="G72" s="62" cm="1">
        <f t="array" ref="G72">IF(AND(2028&gt;=2026,2028&lt;2026+'7. Pasirinktinis scenarijus'!$C$5),SUM('2. Investicijos'!$H$5:$H$8*'7. Pasirinktinis scenarijus'!$C$6)/'7. Pasirinktinis scenarijus'!$C$5,0)</f>
        <v>0</v>
      </c>
      <c r="H72" s="62">
        <f t="shared" ref="H72:H103" si="47">D72-I72</f>
        <v>0</v>
      </c>
      <c r="I72" s="62">
        <f>SUM(H$5:H$8)</f>
        <v>0</v>
      </c>
      <c r="J72" s="62" t="e" cm="1">
        <f t="array" ref="J72">K72+L72+MAX(0,-R71)*IFERROR(SUMPRODUCT(IF('2. Investicijos'!$N$5:$N$8&gt;('2. Investicijos'!$H$5:$H$8*'7. Pasirinktinis scenarijus'!$C$6),'2. Investicijos'!$N$5:$N$8-('2. Investicijos'!$H$5:$H$8*'7. Pasirinktinis scenarijus'!$C$6),0),'2. Investicijos'!$O$5:$O$8/100)/SUM(IF('2. Investicijos'!$N$5:$N$8&gt;('2. Investicijos'!$H$5:$H$8*'7. Pasirinktinis scenarijus'!$C$6),'2. Investicijos'!$N$5:$N$8-('2. Investicijos'!$H$5:$H$8*'7. Pasirinktinis scenarijus'!$C$6),0)),0)</f>
        <v>#VALUE!</v>
      </c>
      <c r="K72" s="62">
        <f>SUM(AB$5:AB$8)</f>
        <v>0</v>
      </c>
      <c r="L72" s="62">
        <f>SUM(R$5:R$8)</f>
        <v>0</v>
      </c>
      <c r="M72" s="62">
        <f>SUM(AL$5:AL$8)</f>
        <v>0</v>
      </c>
      <c r="N72" s="62">
        <f>'3. Finansinės prielaidos'!E30+M72</f>
        <v>0</v>
      </c>
      <c r="O72" s="62">
        <f>'3. Finansinės prielaidos'!E31</f>
        <v>0</v>
      </c>
      <c r="P72" s="62">
        <f>'3. Finansinės prielaidos'!E32</f>
        <v>0</v>
      </c>
      <c r="Q72" s="62" t="e">
        <f t="shared" ref="Q72:Q103" si="48">S72+G72+I72+E72-C72-J72</f>
        <v>#VALUE!</v>
      </c>
      <c r="R72" s="62" t="e">
        <f>R71+('3. Finansinės prielaidos'!E31-'3. Finansinės prielaidos'!D31)+Q72</f>
        <v>#VALUE!</v>
      </c>
      <c r="S72" s="62" t="e" cm="1">
        <f t="array" ref="S72">SUMPRODUCT(--(2028&gt;'2. Investicijos'!$F$5:$F$8),--(2028&lt;='2. Investicijos'!$F$5:$F$8+'2. Investicijos'!$G$5:$G$8),IFERROR(('2. Investicijos'!$M$5:$M$8+IF('2. Investicijos'!$N$5:$N$8&gt;('2. Investicijos'!$H$5:$H$8*'7. Pasirinktinis scenarijus'!$C$6),'2. Investicijos'!$N$5:$N$8-('2. Investicijos'!$H$5:$H$8*'7. Pasirinktinis scenarijus'!$C$6),0)+('2. Investicijos'!$H$5:$H$8*'7. Pasirinktinis scenarijus'!$C$6))/'2. Investicijos'!$G$5:$G$8,0))+SUMPRODUCT(--(2028&gt;'2. Investicijos'!$F$5:$F$8),--(2028&lt;='2. Investicijos'!$F$5:$F$8+'2. Investicijos'!$G$5:$G$8),IFERROR(('2. Investicijos'!$M$5:$M$8+IF('2. Investicijos'!$N$5:$N$8&gt;('2. Investicijos'!$H$5:$H$8*'7. Pasirinktinis scenarijus'!$C$6),'2. Investicijos'!$N$5:$N$8-('2. Investicijos'!$H$5:$H$8*'7. Pasirinktinis scenarijus'!$C$6),0))*(1-((2028-'2. Investicijos'!$F$5:$F$8)-1)/'2. Investicijos'!$G$5:$G$8),0)*'5. 0% scenarijus'!$C$5)</f>
        <v>#VALUE!</v>
      </c>
      <c r="T72" s="62" t="e">
        <f>'3. Finansinės prielaidos'!E29+S72+G72</f>
        <v>#VALUE!</v>
      </c>
      <c r="U72" s="62" t="e">
        <f t="shared" ref="U72:U103" si="49">N72-R72</f>
        <v>#VALUE!</v>
      </c>
      <c r="V72" s="72" t="e">
        <f t="shared" ref="V72:V103" si="50">IF(OR(T72="",T72&lt;=0),"",U72/T72)</f>
        <v>#VALUE!</v>
      </c>
      <c r="W72" s="72" t="e">
        <f t="shared" ref="W72:W103" si="51">IF(T72&lt;=0,"",IF(P72+J72=0,999999,T72/(P72+J72)))</f>
        <v>#VALUE!</v>
      </c>
      <c r="X72" s="57" t="e">
        <f t="shared" ref="X72:X103" si="52">IF(OR(V72="",W72=""),"",IF(AND(V72&lt;=5.5,W72&gt;=1.2),"ATITINKA","NEATITINKA"))</f>
        <v>#VALUE!</v>
      </c>
      <c r="Y72" s="57" t="e">
        <f t="shared" ref="Y72:Y103" si="53">IF(X72&lt;&gt;"NEATITINKA","",IF(T72&lt;=0,"EBITDA ≤ 0",IF(AND(V72&gt;5.5,W72&lt;1.2),"Abu",IF(V72&gt;5.5,"Net Debt / EBITDA","DSCR"))))</f>
        <v>#VALUE!</v>
      </c>
      <c r="Z72" s="57"/>
      <c r="AA72" s="57"/>
      <c r="AB72" s="57"/>
      <c r="AC72" s="57"/>
      <c r="AD72" s="57"/>
      <c r="AE72" s="57"/>
      <c r="AF72" s="57"/>
      <c r="AG72" s="57"/>
      <c r="AH72" s="57"/>
      <c r="AI72" s="57"/>
      <c r="AJ72" s="57"/>
      <c r="AK72" s="57"/>
      <c r="AL72" s="57"/>
      <c r="AM72" s="57"/>
      <c r="AN72" s="57"/>
      <c r="AO72" s="57"/>
      <c r="AP72" s="57"/>
      <c r="AQ72" s="57"/>
      <c r="AR72" s="57"/>
      <c r="AS72" s="57"/>
    </row>
    <row r="73" spans="1:45">
      <c r="A73" s="57">
        <v>4</v>
      </c>
      <c r="B73" s="57">
        <v>2029</v>
      </c>
      <c r="C73" s="62">
        <f>SUM('4. Metinis CAPEX'!I$9:I$12)</f>
        <v>0</v>
      </c>
      <c r="D73" s="62" cm="1">
        <f t="array" ref="D73">SUMPRODUCT('4. Metinis CAPEX'!I$9:I$12,IFERROR('2. Investicijos'!$N$5:$N$8/'2. Investicijos'!$H$5:$H$8,0))</f>
        <v>0</v>
      </c>
      <c r="E73" s="62" cm="1">
        <f t="array" ref="E73">SUMPRODUCT('4. Metinis CAPEX'!I$9:I$12,IFERROR(('2. Investicijos'!$I$5:$I$8+'2. Investicijos'!$J$5:$J$8+'2. Investicijos'!$K$5:$K$8+'2. Investicijos'!$L$5:$L$8)/'2. Investicijos'!$H$5:$H$8,0))</f>
        <v>0</v>
      </c>
      <c r="F73" s="62" cm="1">
        <f t="array" ref="F73">SUM('2. Investicijos'!$H$5:$H$8*'7. Pasirinktinis scenarijus'!$C$6)</f>
        <v>0</v>
      </c>
      <c r="G73" s="62" cm="1">
        <f t="array" ref="G73">IF(AND(2029&gt;=2026,2029&lt;2026+'7. Pasirinktinis scenarijus'!$C$5),SUM('2. Investicijos'!$H$5:$H$8*'7. Pasirinktinis scenarijus'!$C$6)/'7. Pasirinktinis scenarijus'!$C$5,0)</f>
        <v>0</v>
      </c>
      <c r="H73" s="62">
        <f t="shared" si="47"/>
        <v>0</v>
      </c>
      <c r="I73" s="62">
        <f>SUM(I$5:I$8)</f>
        <v>0</v>
      </c>
      <c r="J73" s="62" t="e" cm="1">
        <f t="array" ref="J73">K73+L73+MAX(0,-R72)*IFERROR(SUMPRODUCT(IF('2. Investicijos'!$N$5:$N$8&gt;('2. Investicijos'!$H$5:$H$8*'7. Pasirinktinis scenarijus'!$C$6),'2. Investicijos'!$N$5:$N$8-('2. Investicijos'!$H$5:$H$8*'7. Pasirinktinis scenarijus'!$C$6),0),'2. Investicijos'!$O$5:$O$8/100)/SUM(IF('2. Investicijos'!$N$5:$N$8&gt;('2. Investicijos'!$H$5:$H$8*'7. Pasirinktinis scenarijus'!$C$6),'2. Investicijos'!$N$5:$N$8-('2. Investicijos'!$H$5:$H$8*'7. Pasirinktinis scenarijus'!$C$6),0)),0)</f>
        <v>#VALUE!</v>
      </c>
      <c r="K73" s="62">
        <f>SUM(AC$5:AC$8)</f>
        <v>0</v>
      </c>
      <c r="L73" s="62">
        <f>SUM(S$5:S$8)</f>
        <v>0</v>
      </c>
      <c r="M73" s="62">
        <f>SUM(AM$5:AM$8)</f>
        <v>0</v>
      </c>
      <c r="N73" s="62">
        <f>'3. Finansinės prielaidos'!F30+M73</f>
        <v>0</v>
      </c>
      <c r="O73" s="62">
        <f>'3. Finansinės prielaidos'!F31</f>
        <v>0</v>
      </c>
      <c r="P73" s="62">
        <f>'3. Finansinės prielaidos'!F32</f>
        <v>0</v>
      </c>
      <c r="Q73" s="62" t="e">
        <f t="shared" si="48"/>
        <v>#VALUE!</v>
      </c>
      <c r="R73" s="62" t="e">
        <f>R72+('3. Finansinės prielaidos'!F31-'3. Finansinės prielaidos'!E31)+Q73</f>
        <v>#VALUE!</v>
      </c>
      <c r="S73" s="62" t="e" cm="1">
        <f t="array" ref="S73">SUMPRODUCT(--(2029&gt;'2. Investicijos'!$F$5:$F$8),--(2029&lt;='2. Investicijos'!$F$5:$F$8+'2. Investicijos'!$G$5:$G$8),IFERROR(('2. Investicijos'!$M$5:$M$8+IF('2. Investicijos'!$N$5:$N$8&gt;('2. Investicijos'!$H$5:$H$8*'7. Pasirinktinis scenarijus'!$C$6),'2. Investicijos'!$N$5:$N$8-('2. Investicijos'!$H$5:$H$8*'7. Pasirinktinis scenarijus'!$C$6),0)+('2. Investicijos'!$H$5:$H$8*'7. Pasirinktinis scenarijus'!$C$6))/'2. Investicijos'!$G$5:$G$8,0))+SUMPRODUCT(--(2029&gt;'2. Investicijos'!$F$5:$F$8),--(2029&lt;='2. Investicijos'!$F$5:$F$8+'2. Investicijos'!$G$5:$G$8),IFERROR(('2. Investicijos'!$M$5:$M$8+IF('2. Investicijos'!$N$5:$N$8&gt;('2. Investicijos'!$H$5:$H$8*'7. Pasirinktinis scenarijus'!$C$6),'2. Investicijos'!$N$5:$N$8-('2. Investicijos'!$H$5:$H$8*'7. Pasirinktinis scenarijus'!$C$6),0))*(1-((2029-'2. Investicijos'!$F$5:$F$8)-1)/'2. Investicijos'!$G$5:$G$8),0)*'5. 0% scenarijus'!$C$5)</f>
        <v>#VALUE!</v>
      </c>
      <c r="T73" s="62" t="e">
        <f>'3. Finansinės prielaidos'!F29+S73+G73</f>
        <v>#VALUE!</v>
      </c>
      <c r="U73" s="62" t="e">
        <f t="shared" si="49"/>
        <v>#VALUE!</v>
      </c>
      <c r="V73" s="72" t="e">
        <f t="shared" si="50"/>
        <v>#VALUE!</v>
      </c>
      <c r="W73" s="72" t="e">
        <f t="shared" si="51"/>
        <v>#VALUE!</v>
      </c>
      <c r="X73" s="57" t="e">
        <f t="shared" si="52"/>
        <v>#VALUE!</v>
      </c>
      <c r="Y73" s="57" t="e">
        <f t="shared" si="53"/>
        <v>#VALUE!</v>
      </c>
      <c r="Z73" s="57"/>
      <c r="AA73" s="57"/>
      <c r="AB73" s="57"/>
      <c r="AC73" s="57"/>
      <c r="AD73" s="57"/>
      <c r="AE73" s="57"/>
      <c r="AF73" s="57"/>
      <c r="AG73" s="57"/>
      <c r="AH73" s="57"/>
      <c r="AI73" s="57"/>
      <c r="AJ73" s="57"/>
      <c r="AK73" s="57"/>
      <c r="AL73" s="57"/>
      <c r="AM73" s="57"/>
      <c r="AN73" s="57"/>
      <c r="AO73" s="57"/>
      <c r="AP73" s="57"/>
      <c r="AQ73" s="57"/>
      <c r="AR73" s="57"/>
      <c r="AS73" s="57"/>
    </row>
    <row r="74" spans="1:45">
      <c r="A74" s="57">
        <v>4</v>
      </c>
      <c r="B74" s="57">
        <v>2030</v>
      </c>
      <c r="C74" s="62">
        <f>SUM('4. Metinis CAPEX'!J$9:J$12)</f>
        <v>0</v>
      </c>
      <c r="D74" s="62" cm="1">
        <f t="array" ref="D74">SUMPRODUCT('4. Metinis CAPEX'!J$9:J$12,IFERROR('2. Investicijos'!$N$5:$N$8/'2. Investicijos'!$H$5:$H$8,0))</f>
        <v>0</v>
      </c>
      <c r="E74" s="62" cm="1">
        <f t="array" ref="E74">SUMPRODUCT('4. Metinis CAPEX'!J$9:J$12,IFERROR(('2. Investicijos'!$I$5:$I$8+'2. Investicijos'!$J$5:$J$8+'2. Investicijos'!$K$5:$K$8+'2. Investicijos'!$L$5:$L$8)/'2. Investicijos'!$H$5:$H$8,0))</f>
        <v>0</v>
      </c>
      <c r="F74" s="62" cm="1">
        <f t="array" ref="F74">SUM('2. Investicijos'!$H$5:$H$8*'7. Pasirinktinis scenarijus'!$C$6)</f>
        <v>0</v>
      </c>
      <c r="G74" s="62" cm="1">
        <f t="array" ref="G74">IF(AND(2030&gt;=2026,2030&lt;2026+'7. Pasirinktinis scenarijus'!$C$5),SUM('2. Investicijos'!$H$5:$H$8*'7. Pasirinktinis scenarijus'!$C$6)/'7. Pasirinktinis scenarijus'!$C$5,0)</f>
        <v>0</v>
      </c>
      <c r="H74" s="62">
        <f t="shared" si="47"/>
        <v>0</v>
      </c>
      <c r="I74" s="62">
        <f>SUM(J$5:J$8)</f>
        <v>0</v>
      </c>
      <c r="J74" s="62" t="e" cm="1">
        <f t="array" ref="J74">K74+L74+MAX(0,-R73)*IFERROR(SUMPRODUCT(IF('2. Investicijos'!$N$5:$N$8&gt;('2. Investicijos'!$H$5:$H$8*'7. Pasirinktinis scenarijus'!$C$6),'2. Investicijos'!$N$5:$N$8-('2. Investicijos'!$H$5:$H$8*'7. Pasirinktinis scenarijus'!$C$6),0),'2. Investicijos'!$O$5:$O$8/100)/SUM(IF('2. Investicijos'!$N$5:$N$8&gt;('2. Investicijos'!$H$5:$H$8*'7. Pasirinktinis scenarijus'!$C$6),'2. Investicijos'!$N$5:$N$8-('2. Investicijos'!$H$5:$H$8*'7. Pasirinktinis scenarijus'!$C$6),0)),0)</f>
        <v>#VALUE!</v>
      </c>
      <c r="K74" s="62">
        <f>SUM(AD$5:AD$8)</f>
        <v>0</v>
      </c>
      <c r="L74" s="62">
        <f>SUM(T$5:T$8)</f>
        <v>0</v>
      </c>
      <c r="M74" s="62">
        <f>SUM(AN$5:AN$8)</f>
        <v>0</v>
      </c>
      <c r="N74" s="62">
        <f>'3. Finansinės prielaidos'!G30+M74</f>
        <v>0</v>
      </c>
      <c r="O74" s="62">
        <f>'3. Finansinės prielaidos'!G31</f>
        <v>0</v>
      </c>
      <c r="P74" s="62">
        <f>'3. Finansinės prielaidos'!G32</f>
        <v>0</v>
      </c>
      <c r="Q74" s="62" t="e">
        <f t="shared" si="48"/>
        <v>#VALUE!</v>
      </c>
      <c r="R74" s="62" t="e">
        <f>R73+('3. Finansinės prielaidos'!G31-'3. Finansinės prielaidos'!F31)+Q74</f>
        <v>#VALUE!</v>
      </c>
      <c r="S74" s="62" t="e" cm="1">
        <f t="array" ref="S74">SUMPRODUCT(--(2030&gt;'2. Investicijos'!$F$5:$F$8),--(2030&lt;='2. Investicijos'!$F$5:$F$8+'2. Investicijos'!$G$5:$G$8),IFERROR(('2. Investicijos'!$M$5:$M$8+IF('2. Investicijos'!$N$5:$N$8&gt;('2. Investicijos'!$H$5:$H$8*'7. Pasirinktinis scenarijus'!$C$6),'2. Investicijos'!$N$5:$N$8-('2. Investicijos'!$H$5:$H$8*'7. Pasirinktinis scenarijus'!$C$6),0)+('2. Investicijos'!$H$5:$H$8*'7. Pasirinktinis scenarijus'!$C$6))/'2. Investicijos'!$G$5:$G$8,0))+SUMPRODUCT(--(2030&gt;'2. Investicijos'!$F$5:$F$8),--(2030&lt;='2. Investicijos'!$F$5:$F$8+'2. Investicijos'!$G$5:$G$8),IFERROR(('2. Investicijos'!$M$5:$M$8+IF('2. Investicijos'!$N$5:$N$8&gt;('2. Investicijos'!$H$5:$H$8*'7. Pasirinktinis scenarijus'!$C$6),'2. Investicijos'!$N$5:$N$8-('2. Investicijos'!$H$5:$H$8*'7. Pasirinktinis scenarijus'!$C$6),0))*(1-((2030-'2. Investicijos'!$F$5:$F$8)-1)/'2. Investicijos'!$G$5:$G$8),0)*'5. 0% scenarijus'!$C$5)</f>
        <v>#VALUE!</v>
      </c>
      <c r="T74" s="62" t="e">
        <f>'3. Finansinės prielaidos'!G29+S74+G74</f>
        <v>#VALUE!</v>
      </c>
      <c r="U74" s="62" t="e">
        <f t="shared" si="49"/>
        <v>#VALUE!</v>
      </c>
      <c r="V74" s="72" t="e">
        <f t="shared" si="50"/>
        <v>#VALUE!</v>
      </c>
      <c r="W74" s="72" t="e">
        <f t="shared" si="51"/>
        <v>#VALUE!</v>
      </c>
      <c r="X74" s="57" t="e">
        <f t="shared" si="52"/>
        <v>#VALUE!</v>
      </c>
      <c r="Y74" s="57" t="e">
        <f t="shared" si="53"/>
        <v>#VALUE!</v>
      </c>
      <c r="Z74" s="57"/>
      <c r="AA74" s="57"/>
      <c r="AB74" s="57"/>
      <c r="AC74" s="57"/>
      <c r="AD74" s="57"/>
      <c r="AE74" s="57"/>
      <c r="AF74" s="57"/>
      <c r="AG74" s="57"/>
      <c r="AH74" s="57"/>
      <c r="AI74" s="57"/>
      <c r="AJ74" s="57"/>
      <c r="AK74" s="57"/>
      <c r="AL74" s="57"/>
      <c r="AM74" s="57"/>
      <c r="AN74" s="57"/>
      <c r="AO74" s="57"/>
      <c r="AP74" s="57"/>
      <c r="AQ74" s="57"/>
      <c r="AR74" s="57"/>
      <c r="AS74" s="57"/>
    </row>
    <row r="75" spans="1:45">
      <c r="A75" s="57">
        <v>4</v>
      </c>
      <c r="B75" s="57">
        <v>2031</v>
      </c>
      <c r="C75" s="62">
        <f>SUM('4. Metinis CAPEX'!K$9:K$12)</f>
        <v>0</v>
      </c>
      <c r="D75" s="62" cm="1">
        <f t="array" ref="D75">SUMPRODUCT('4. Metinis CAPEX'!K$9:K$12,IFERROR('2. Investicijos'!$N$5:$N$8/'2. Investicijos'!$H$5:$H$8,0))</f>
        <v>0</v>
      </c>
      <c r="E75" s="62" cm="1">
        <f t="array" ref="E75">SUMPRODUCT('4. Metinis CAPEX'!K$9:K$12,IFERROR(('2. Investicijos'!$I$5:$I$8+'2. Investicijos'!$J$5:$J$8+'2. Investicijos'!$K$5:$K$8+'2. Investicijos'!$L$5:$L$8)/'2. Investicijos'!$H$5:$H$8,0))</f>
        <v>0</v>
      </c>
      <c r="F75" s="62" cm="1">
        <f t="array" ref="F75">SUM('2. Investicijos'!$H$5:$H$8*'7. Pasirinktinis scenarijus'!$C$6)</f>
        <v>0</v>
      </c>
      <c r="G75" s="62" cm="1">
        <f t="array" ref="G75">IF(AND(2031&gt;=2026,2031&lt;2026+'7. Pasirinktinis scenarijus'!$C$5),SUM('2. Investicijos'!$H$5:$H$8*'7. Pasirinktinis scenarijus'!$C$6)/'7. Pasirinktinis scenarijus'!$C$5,0)</f>
        <v>0</v>
      </c>
      <c r="H75" s="62">
        <f t="shared" si="47"/>
        <v>0</v>
      </c>
      <c r="I75" s="62">
        <f>SUM(K$5:K$8)</f>
        <v>0</v>
      </c>
      <c r="J75" s="62" t="e" cm="1">
        <f t="array" ref="J75">K75+L75+MAX(0,-R74)*IFERROR(SUMPRODUCT(IF('2. Investicijos'!$N$5:$N$8&gt;('2. Investicijos'!$H$5:$H$8*'7. Pasirinktinis scenarijus'!$C$6),'2. Investicijos'!$N$5:$N$8-('2. Investicijos'!$H$5:$H$8*'7. Pasirinktinis scenarijus'!$C$6),0),'2. Investicijos'!$O$5:$O$8/100)/SUM(IF('2. Investicijos'!$N$5:$N$8&gt;('2. Investicijos'!$H$5:$H$8*'7. Pasirinktinis scenarijus'!$C$6),'2. Investicijos'!$N$5:$N$8-('2. Investicijos'!$H$5:$H$8*'7. Pasirinktinis scenarijus'!$C$6),0)),0)</f>
        <v>#VALUE!</v>
      </c>
      <c r="K75" s="62">
        <f>SUM(AE$5:AE$8)</f>
        <v>0</v>
      </c>
      <c r="L75" s="62">
        <f>SUM(U$5:U$8)</f>
        <v>0</v>
      </c>
      <c r="M75" s="62">
        <f>SUM(AO$5:AO$8)</f>
        <v>0</v>
      </c>
      <c r="N75" s="62">
        <f>'3. Finansinės prielaidos'!H30+M75</f>
        <v>0</v>
      </c>
      <c r="O75" s="62">
        <f>'3. Finansinės prielaidos'!H31</f>
        <v>0</v>
      </c>
      <c r="P75" s="62">
        <f>'3. Finansinės prielaidos'!H32</f>
        <v>0</v>
      </c>
      <c r="Q75" s="62" t="e">
        <f t="shared" si="48"/>
        <v>#VALUE!</v>
      </c>
      <c r="R75" s="62" t="e">
        <f>R74+('3. Finansinės prielaidos'!H31-'3. Finansinės prielaidos'!G31)+Q75</f>
        <v>#VALUE!</v>
      </c>
      <c r="S75" s="62" t="e" cm="1">
        <f t="array" ref="S75">SUMPRODUCT(--(2031&gt;'2. Investicijos'!$F$5:$F$8),--(2031&lt;='2. Investicijos'!$F$5:$F$8+'2. Investicijos'!$G$5:$G$8),IFERROR(('2. Investicijos'!$M$5:$M$8+IF('2. Investicijos'!$N$5:$N$8&gt;('2. Investicijos'!$H$5:$H$8*'7. Pasirinktinis scenarijus'!$C$6),'2. Investicijos'!$N$5:$N$8-('2. Investicijos'!$H$5:$H$8*'7. Pasirinktinis scenarijus'!$C$6),0)+('2. Investicijos'!$H$5:$H$8*'7. Pasirinktinis scenarijus'!$C$6))/'2. Investicijos'!$G$5:$G$8,0))+SUMPRODUCT(--(2031&gt;'2. Investicijos'!$F$5:$F$8),--(2031&lt;='2. Investicijos'!$F$5:$F$8+'2. Investicijos'!$G$5:$G$8),IFERROR(('2. Investicijos'!$M$5:$M$8+IF('2. Investicijos'!$N$5:$N$8&gt;('2. Investicijos'!$H$5:$H$8*'7. Pasirinktinis scenarijus'!$C$6),'2. Investicijos'!$N$5:$N$8-('2. Investicijos'!$H$5:$H$8*'7. Pasirinktinis scenarijus'!$C$6),0))*(1-((2031-'2. Investicijos'!$F$5:$F$8)-1)/'2. Investicijos'!$G$5:$G$8),0)*'5. 0% scenarijus'!$C$5)</f>
        <v>#VALUE!</v>
      </c>
      <c r="T75" s="62" t="e">
        <f>'3. Finansinės prielaidos'!H29+S75+G75</f>
        <v>#VALUE!</v>
      </c>
      <c r="U75" s="62" t="e">
        <f t="shared" si="49"/>
        <v>#VALUE!</v>
      </c>
      <c r="V75" s="72" t="e">
        <f t="shared" si="50"/>
        <v>#VALUE!</v>
      </c>
      <c r="W75" s="72" t="e">
        <f t="shared" si="51"/>
        <v>#VALUE!</v>
      </c>
      <c r="X75" s="57" t="e">
        <f t="shared" si="52"/>
        <v>#VALUE!</v>
      </c>
      <c r="Y75" s="57" t="e">
        <f t="shared" si="53"/>
        <v>#VALUE!</v>
      </c>
      <c r="Z75" s="57"/>
      <c r="AA75" s="57"/>
      <c r="AB75" s="57"/>
      <c r="AC75" s="57"/>
      <c r="AD75" s="57"/>
      <c r="AE75" s="57"/>
      <c r="AF75" s="57"/>
      <c r="AG75" s="57"/>
      <c r="AH75" s="57"/>
      <c r="AI75" s="57"/>
      <c r="AJ75" s="57"/>
      <c r="AK75" s="57"/>
      <c r="AL75" s="57"/>
      <c r="AM75" s="57"/>
      <c r="AN75" s="57"/>
      <c r="AO75" s="57"/>
      <c r="AP75" s="57"/>
      <c r="AQ75" s="57"/>
      <c r="AR75" s="57"/>
      <c r="AS75" s="57"/>
    </row>
    <row r="76" spans="1:45">
      <c r="A76" s="57">
        <v>4</v>
      </c>
      <c r="B76" s="57">
        <v>2032</v>
      </c>
      <c r="C76" s="62">
        <f>SUM('4. Metinis CAPEX'!L$9:L$12)</f>
        <v>0</v>
      </c>
      <c r="D76" s="62" cm="1">
        <f t="array" ref="D76">SUMPRODUCT('4. Metinis CAPEX'!L$9:L$12,IFERROR('2. Investicijos'!$N$5:$N$8/'2. Investicijos'!$H$5:$H$8,0))</f>
        <v>0</v>
      </c>
      <c r="E76" s="62" cm="1">
        <f t="array" ref="E76">SUMPRODUCT('4. Metinis CAPEX'!L$9:L$12,IFERROR(('2. Investicijos'!$I$5:$I$8+'2. Investicijos'!$J$5:$J$8+'2. Investicijos'!$K$5:$K$8+'2. Investicijos'!$L$5:$L$8)/'2. Investicijos'!$H$5:$H$8,0))</f>
        <v>0</v>
      </c>
      <c r="F76" s="62" cm="1">
        <f t="array" ref="F76">SUM('2. Investicijos'!$H$5:$H$8*'7. Pasirinktinis scenarijus'!$C$6)</f>
        <v>0</v>
      </c>
      <c r="G76" s="62" cm="1">
        <f t="array" ref="G76">IF(AND(2032&gt;=2026,2032&lt;2026+'7. Pasirinktinis scenarijus'!$C$5),SUM('2. Investicijos'!$H$5:$H$8*'7. Pasirinktinis scenarijus'!$C$6)/'7. Pasirinktinis scenarijus'!$C$5,0)</f>
        <v>0</v>
      </c>
      <c r="H76" s="62">
        <f t="shared" si="47"/>
        <v>0</v>
      </c>
      <c r="I76" s="62">
        <f>SUM(L$5:L$8)</f>
        <v>0</v>
      </c>
      <c r="J76" s="62" t="e" cm="1">
        <f t="array" ref="J76">K76+L76+MAX(0,-R75)*IFERROR(SUMPRODUCT(IF('2. Investicijos'!$N$5:$N$8&gt;('2. Investicijos'!$H$5:$H$8*'7. Pasirinktinis scenarijus'!$C$6),'2. Investicijos'!$N$5:$N$8-('2. Investicijos'!$H$5:$H$8*'7. Pasirinktinis scenarijus'!$C$6),0),'2. Investicijos'!$O$5:$O$8/100)/SUM(IF('2. Investicijos'!$N$5:$N$8&gt;('2. Investicijos'!$H$5:$H$8*'7. Pasirinktinis scenarijus'!$C$6),'2. Investicijos'!$N$5:$N$8-('2. Investicijos'!$H$5:$H$8*'7. Pasirinktinis scenarijus'!$C$6),0)),0)</f>
        <v>#VALUE!</v>
      </c>
      <c r="K76" s="62">
        <f>SUM(AF$5:AF$8)</f>
        <v>0</v>
      </c>
      <c r="L76" s="62">
        <f>SUM(V$5:V$8)</f>
        <v>0</v>
      </c>
      <c r="M76" s="62">
        <f>SUM(AP$5:AP$8)</f>
        <v>0</v>
      </c>
      <c r="N76" s="62">
        <f>'3. Finansinės prielaidos'!I30+M76</f>
        <v>0</v>
      </c>
      <c r="O76" s="62">
        <f>'3. Finansinės prielaidos'!I31</f>
        <v>0</v>
      </c>
      <c r="P76" s="62">
        <f>'3. Finansinės prielaidos'!I32</f>
        <v>0</v>
      </c>
      <c r="Q76" s="62" t="e">
        <f t="shared" si="48"/>
        <v>#VALUE!</v>
      </c>
      <c r="R76" s="62" t="e">
        <f>R75+('3. Finansinės prielaidos'!I31-'3. Finansinės prielaidos'!H31)+Q76</f>
        <v>#VALUE!</v>
      </c>
      <c r="S76" s="62" t="e" cm="1">
        <f t="array" ref="S76">SUMPRODUCT(--(2032&gt;'2. Investicijos'!$F$5:$F$8),--(2032&lt;='2. Investicijos'!$F$5:$F$8+'2. Investicijos'!$G$5:$G$8),IFERROR(('2. Investicijos'!$M$5:$M$8+IF('2. Investicijos'!$N$5:$N$8&gt;('2. Investicijos'!$H$5:$H$8*'7. Pasirinktinis scenarijus'!$C$6),'2. Investicijos'!$N$5:$N$8-('2. Investicijos'!$H$5:$H$8*'7. Pasirinktinis scenarijus'!$C$6),0)+('2. Investicijos'!$H$5:$H$8*'7. Pasirinktinis scenarijus'!$C$6))/'2. Investicijos'!$G$5:$G$8,0))+SUMPRODUCT(--(2032&gt;'2. Investicijos'!$F$5:$F$8),--(2032&lt;='2. Investicijos'!$F$5:$F$8+'2. Investicijos'!$G$5:$G$8),IFERROR(('2. Investicijos'!$M$5:$M$8+IF('2. Investicijos'!$N$5:$N$8&gt;('2. Investicijos'!$H$5:$H$8*'7. Pasirinktinis scenarijus'!$C$6),'2. Investicijos'!$N$5:$N$8-('2. Investicijos'!$H$5:$H$8*'7. Pasirinktinis scenarijus'!$C$6),0))*(1-((2032-'2. Investicijos'!$F$5:$F$8)-1)/'2. Investicijos'!$G$5:$G$8),0)*'5. 0% scenarijus'!$C$5)</f>
        <v>#VALUE!</v>
      </c>
      <c r="T76" s="62" t="e">
        <f>'3. Finansinės prielaidos'!I29+S76+G76</f>
        <v>#VALUE!</v>
      </c>
      <c r="U76" s="62" t="e">
        <f t="shared" si="49"/>
        <v>#VALUE!</v>
      </c>
      <c r="V76" s="72" t="e">
        <f t="shared" si="50"/>
        <v>#VALUE!</v>
      </c>
      <c r="W76" s="72" t="e">
        <f t="shared" si="51"/>
        <v>#VALUE!</v>
      </c>
      <c r="X76" s="57" t="e">
        <f t="shared" si="52"/>
        <v>#VALUE!</v>
      </c>
      <c r="Y76" s="57" t="e">
        <f t="shared" si="53"/>
        <v>#VALUE!</v>
      </c>
      <c r="Z76" s="57"/>
      <c r="AA76" s="57"/>
      <c r="AB76" s="57"/>
      <c r="AC76" s="57"/>
      <c r="AD76" s="57"/>
      <c r="AE76" s="57"/>
      <c r="AF76" s="57"/>
      <c r="AG76" s="57"/>
      <c r="AH76" s="57"/>
      <c r="AI76" s="57"/>
      <c r="AJ76" s="57"/>
      <c r="AK76" s="57"/>
      <c r="AL76" s="57"/>
      <c r="AM76" s="57"/>
      <c r="AN76" s="57"/>
      <c r="AO76" s="57"/>
      <c r="AP76" s="57"/>
      <c r="AQ76" s="57"/>
      <c r="AR76" s="57"/>
      <c r="AS76" s="57"/>
    </row>
    <row r="77" spans="1:45">
      <c r="A77" s="57">
        <v>4</v>
      </c>
      <c r="B77" s="57">
        <v>2033</v>
      </c>
      <c r="C77" s="62">
        <f>SUM('4. Metinis CAPEX'!M$9:M$12)</f>
        <v>0</v>
      </c>
      <c r="D77" s="62" cm="1">
        <f t="array" ref="D77">SUMPRODUCT('4. Metinis CAPEX'!M$9:M$12,IFERROR('2. Investicijos'!$N$5:$N$8/'2. Investicijos'!$H$5:$H$8,0))</f>
        <v>0</v>
      </c>
      <c r="E77" s="62" cm="1">
        <f t="array" ref="E77">SUMPRODUCT('4. Metinis CAPEX'!M$9:M$12,IFERROR(('2. Investicijos'!$I$5:$I$8+'2. Investicijos'!$J$5:$J$8+'2. Investicijos'!$K$5:$K$8+'2. Investicijos'!$L$5:$L$8)/'2. Investicijos'!$H$5:$H$8,0))</f>
        <v>0</v>
      </c>
      <c r="F77" s="62" cm="1">
        <f t="array" ref="F77">SUM('2. Investicijos'!$H$5:$H$8*'7. Pasirinktinis scenarijus'!$C$6)</f>
        <v>0</v>
      </c>
      <c r="G77" s="62" cm="1">
        <f t="array" ref="G77">IF(AND(2033&gt;=2026,2033&lt;2026+'7. Pasirinktinis scenarijus'!$C$5),SUM('2. Investicijos'!$H$5:$H$8*'7. Pasirinktinis scenarijus'!$C$6)/'7. Pasirinktinis scenarijus'!$C$5,0)</f>
        <v>0</v>
      </c>
      <c r="H77" s="62">
        <f t="shared" si="47"/>
        <v>0</v>
      </c>
      <c r="I77" s="62">
        <f>SUM(M$5:M$8)</f>
        <v>0</v>
      </c>
      <c r="J77" s="62" t="e" cm="1">
        <f t="array" ref="J77">K77+L77+MAX(0,-R76)*IFERROR(SUMPRODUCT(IF('2. Investicijos'!$N$5:$N$8&gt;('2. Investicijos'!$H$5:$H$8*'7. Pasirinktinis scenarijus'!$C$6),'2. Investicijos'!$N$5:$N$8-('2. Investicijos'!$H$5:$H$8*'7. Pasirinktinis scenarijus'!$C$6),0),'2. Investicijos'!$O$5:$O$8/100)/SUM(IF('2. Investicijos'!$N$5:$N$8&gt;('2. Investicijos'!$H$5:$H$8*'7. Pasirinktinis scenarijus'!$C$6),'2. Investicijos'!$N$5:$N$8-('2. Investicijos'!$H$5:$H$8*'7. Pasirinktinis scenarijus'!$C$6),0)),0)</f>
        <v>#VALUE!</v>
      </c>
      <c r="K77" s="62">
        <f>SUM(AG$5:AG$8)</f>
        <v>0</v>
      </c>
      <c r="L77" s="62">
        <f>SUM(W$5:W$8)</f>
        <v>0</v>
      </c>
      <c r="M77" s="62">
        <f>SUM(AQ$5:AQ$8)</f>
        <v>0</v>
      </c>
      <c r="N77" s="62">
        <f>'3. Finansinės prielaidos'!J30+M77</f>
        <v>0</v>
      </c>
      <c r="O77" s="62">
        <f>'3. Finansinės prielaidos'!J31</f>
        <v>0</v>
      </c>
      <c r="P77" s="62">
        <f>'3. Finansinės prielaidos'!J32</f>
        <v>0</v>
      </c>
      <c r="Q77" s="62" t="e">
        <f t="shared" si="48"/>
        <v>#VALUE!</v>
      </c>
      <c r="R77" s="62" t="e">
        <f>R76+('3. Finansinės prielaidos'!J31-'3. Finansinės prielaidos'!I31)+Q77</f>
        <v>#VALUE!</v>
      </c>
      <c r="S77" s="62" t="e" cm="1">
        <f t="array" ref="S77">SUMPRODUCT(--(2033&gt;'2. Investicijos'!$F$5:$F$8),--(2033&lt;='2. Investicijos'!$F$5:$F$8+'2. Investicijos'!$G$5:$G$8),IFERROR(('2. Investicijos'!$M$5:$M$8+IF('2. Investicijos'!$N$5:$N$8&gt;('2. Investicijos'!$H$5:$H$8*'7. Pasirinktinis scenarijus'!$C$6),'2. Investicijos'!$N$5:$N$8-('2. Investicijos'!$H$5:$H$8*'7. Pasirinktinis scenarijus'!$C$6),0)+('2. Investicijos'!$H$5:$H$8*'7. Pasirinktinis scenarijus'!$C$6))/'2. Investicijos'!$G$5:$G$8,0))+SUMPRODUCT(--(2033&gt;'2. Investicijos'!$F$5:$F$8),--(2033&lt;='2. Investicijos'!$F$5:$F$8+'2. Investicijos'!$G$5:$G$8),IFERROR(('2. Investicijos'!$M$5:$M$8+IF('2. Investicijos'!$N$5:$N$8&gt;('2. Investicijos'!$H$5:$H$8*'7. Pasirinktinis scenarijus'!$C$6),'2. Investicijos'!$N$5:$N$8-('2. Investicijos'!$H$5:$H$8*'7. Pasirinktinis scenarijus'!$C$6),0))*(1-((2033-'2. Investicijos'!$F$5:$F$8)-1)/'2. Investicijos'!$G$5:$G$8),0)*'5. 0% scenarijus'!$C$5)</f>
        <v>#VALUE!</v>
      </c>
      <c r="T77" s="62" t="e">
        <f>'3. Finansinės prielaidos'!J29+S77+G77</f>
        <v>#VALUE!</v>
      </c>
      <c r="U77" s="62" t="e">
        <f t="shared" si="49"/>
        <v>#VALUE!</v>
      </c>
      <c r="V77" s="72" t="e">
        <f t="shared" si="50"/>
        <v>#VALUE!</v>
      </c>
      <c r="W77" s="72" t="e">
        <f t="shared" si="51"/>
        <v>#VALUE!</v>
      </c>
      <c r="X77" s="57" t="e">
        <f t="shared" si="52"/>
        <v>#VALUE!</v>
      </c>
      <c r="Y77" s="57" t="e">
        <f t="shared" si="53"/>
        <v>#VALUE!</v>
      </c>
      <c r="Z77" s="57"/>
      <c r="AA77" s="57"/>
      <c r="AB77" s="57"/>
      <c r="AC77" s="57"/>
      <c r="AD77" s="57"/>
      <c r="AE77" s="57"/>
      <c r="AF77" s="57"/>
      <c r="AG77" s="57"/>
      <c r="AH77" s="57"/>
      <c r="AI77" s="57"/>
      <c r="AJ77" s="57"/>
      <c r="AK77" s="57"/>
      <c r="AL77" s="57"/>
      <c r="AM77" s="57"/>
      <c r="AN77" s="57"/>
      <c r="AO77" s="57"/>
      <c r="AP77" s="57"/>
      <c r="AQ77" s="57"/>
      <c r="AR77" s="57"/>
      <c r="AS77" s="57"/>
    </row>
    <row r="78" spans="1:45">
      <c r="A78" s="57">
        <v>4</v>
      </c>
      <c r="B78" s="57">
        <v>2034</v>
      </c>
      <c r="C78" s="62">
        <f>SUM('4. Metinis CAPEX'!N$9:N$12)</f>
        <v>0</v>
      </c>
      <c r="D78" s="62" cm="1">
        <f t="array" ref="D78">SUMPRODUCT('4. Metinis CAPEX'!N$9:N$12,IFERROR('2. Investicijos'!$N$5:$N$8/'2. Investicijos'!$H$5:$H$8,0))</f>
        <v>0</v>
      </c>
      <c r="E78" s="62" cm="1">
        <f t="array" ref="E78">SUMPRODUCT('4. Metinis CAPEX'!N$9:N$12,IFERROR(('2. Investicijos'!$I$5:$I$8+'2. Investicijos'!$J$5:$J$8+'2. Investicijos'!$K$5:$K$8+'2. Investicijos'!$L$5:$L$8)/'2. Investicijos'!$H$5:$H$8,0))</f>
        <v>0</v>
      </c>
      <c r="F78" s="62" cm="1">
        <f t="array" ref="F78">SUM('2. Investicijos'!$H$5:$H$8*'7. Pasirinktinis scenarijus'!$C$6)</f>
        <v>0</v>
      </c>
      <c r="G78" s="62" cm="1">
        <f t="array" ref="G78">IF(AND(2034&gt;=2026,2034&lt;2026+'7. Pasirinktinis scenarijus'!$C$5),SUM('2. Investicijos'!$H$5:$H$8*'7. Pasirinktinis scenarijus'!$C$6)/'7. Pasirinktinis scenarijus'!$C$5,0)</f>
        <v>0</v>
      </c>
      <c r="H78" s="62">
        <f t="shared" si="47"/>
        <v>0</v>
      </c>
      <c r="I78" s="62">
        <f>SUM(N$5:N$8)</f>
        <v>0</v>
      </c>
      <c r="J78" s="62" t="e" cm="1">
        <f t="array" ref="J78">K78+L78+MAX(0,-R77)*IFERROR(SUMPRODUCT(IF('2. Investicijos'!$N$5:$N$8&gt;('2. Investicijos'!$H$5:$H$8*'7. Pasirinktinis scenarijus'!$C$6),'2. Investicijos'!$N$5:$N$8-('2. Investicijos'!$H$5:$H$8*'7. Pasirinktinis scenarijus'!$C$6),0),'2. Investicijos'!$O$5:$O$8/100)/SUM(IF('2. Investicijos'!$N$5:$N$8&gt;('2. Investicijos'!$H$5:$H$8*'7. Pasirinktinis scenarijus'!$C$6),'2. Investicijos'!$N$5:$N$8-('2. Investicijos'!$H$5:$H$8*'7. Pasirinktinis scenarijus'!$C$6),0)),0)</f>
        <v>#VALUE!</v>
      </c>
      <c r="K78" s="62">
        <f>SUM(AH$5:AH$8)</f>
        <v>0</v>
      </c>
      <c r="L78" s="62">
        <f>SUM(X$5:X$8)</f>
        <v>0</v>
      </c>
      <c r="M78" s="62">
        <f>SUM(AR$5:AR$8)</f>
        <v>0</v>
      </c>
      <c r="N78" s="62">
        <f>'3. Finansinės prielaidos'!K30+M78</f>
        <v>0</v>
      </c>
      <c r="O78" s="62">
        <f>'3. Finansinės prielaidos'!K31</f>
        <v>0</v>
      </c>
      <c r="P78" s="62">
        <f>'3. Finansinės prielaidos'!K32</f>
        <v>0</v>
      </c>
      <c r="Q78" s="62" t="e">
        <f t="shared" si="48"/>
        <v>#VALUE!</v>
      </c>
      <c r="R78" s="62" t="e">
        <f>R77+('3. Finansinės prielaidos'!K31-'3. Finansinės prielaidos'!J31)+Q78</f>
        <v>#VALUE!</v>
      </c>
      <c r="S78" s="62" t="e" cm="1">
        <f t="array" ref="S78">SUMPRODUCT(--(2034&gt;'2. Investicijos'!$F$5:$F$8),--(2034&lt;='2. Investicijos'!$F$5:$F$8+'2. Investicijos'!$G$5:$G$8),IFERROR(('2. Investicijos'!$M$5:$M$8+IF('2. Investicijos'!$N$5:$N$8&gt;('2. Investicijos'!$H$5:$H$8*'7. Pasirinktinis scenarijus'!$C$6),'2. Investicijos'!$N$5:$N$8-('2. Investicijos'!$H$5:$H$8*'7. Pasirinktinis scenarijus'!$C$6),0)+('2. Investicijos'!$H$5:$H$8*'7. Pasirinktinis scenarijus'!$C$6))/'2. Investicijos'!$G$5:$G$8,0))+SUMPRODUCT(--(2034&gt;'2. Investicijos'!$F$5:$F$8),--(2034&lt;='2. Investicijos'!$F$5:$F$8+'2. Investicijos'!$G$5:$G$8),IFERROR(('2. Investicijos'!$M$5:$M$8+IF('2. Investicijos'!$N$5:$N$8&gt;('2. Investicijos'!$H$5:$H$8*'7. Pasirinktinis scenarijus'!$C$6),'2. Investicijos'!$N$5:$N$8-('2. Investicijos'!$H$5:$H$8*'7. Pasirinktinis scenarijus'!$C$6),0))*(1-((2034-'2. Investicijos'!$F$5:$F$8)-1)/'2. Investicijos'!$G$5:$G$8),0)*'5. 0% scenarijus'!$C$5)</f>
        <v>#VALUE!</v>
      </c>
      <c r="T78" s="62" t="e">
        <f>'3. Finansinės prielaidos'!K29+S78+G78</f>
        <v>#VALUE!</v>
      </c>
      <c r="U78" s="62" t="e">
        <f t="shared" si="49"/>
        <v>#VALUE!</v>
      </c>
      <c r="V78" s="72" t="e">
        <f t="shared" si="50"/>
        <v>#VALUE!</v>
      </c>
      <c r="W78" s="72" t="e">
        <f t="shared" si="51"/>
        <v>#VALUE!</v>
      </c>
      <c r="X78" s="57" t="e">
        <f t="shared" si="52"/>
        <v>#VALUE!</v>
      </c>
      <c r="Y78" s="57" t="e">
        <f t="shared" si="53"/>
        <v>#VALUE!</v>
      </c>
      <c r="Z78" s="57"/>
      <c r="AA78" s="57"/>
      <c r="AB78" s="57"/>
      <c r="AC78" s="57"/>
      <c r="AD78" s="57"/>
      <c r="AE78" s="57"/>
      <c r="AF78" s="57"/>
      <c r="AG78" s="57"/>
      <c r="AH78" s="57"/>
      <c r="AI78" s="57"/>
      <c r="AJ78" s="57"/>
      <c r="AK78" s="57"/>
      <c r="AL78" s="57"/>
      <c r="AM78" s="57"/>
      <c r="AN78" s="57"/>
      <c r="AO78" s="57"/>
      <c r="AP78" s="57"/>
      <c r="AQ78" s="57"/>
      <c r="AR78" s="57"/>
      <c r="AS78" s="57"/>
    </row>
    <row r="79" spans="1:45">
      <c r="A79" s="57">
        <v>4</v>
      </c>
      <c r="B79" s="57">
        <v>2035</v>
      </c>
      <c r="C79" s="62">
        <f>SUM('4. Metinis CAPEX'!O$9:O$12)</f>
        <v>0</v>
      </c>
      <c r="D79" s="62" cm="1">
        <f t="array" ref="D79">SUMPRODUCT('4. Metinis CAPEX'!O$9:O$12,IFERROR('2. Investicijos'!$N$5:$N$8/'2. Investicijos'!$H$5:$H$8,0))</f>
        <v>0</v>
      </c>
      <c r="E79" s="62" cm="1">
        <f t="array" ref="E79">SUMPRODUCT('4. Metinis CAPEX'!O$9:O$12,IFERROR(('2. Investicijos'!$I$5:$I$8+'2. Investicijos'!$J$5:$J$8+'2. Investicijos'!$K$5:$K$8+'2. Investicijos'!$L$5:$L$8)/'2. Investicijos'!$H$5:$H$8,0))</f>
        <v>0</v>
      </c>
      <c r="F79" s="62" cm="1">
        <f t="array" ref="F79">SUM('2. Investicijos'!$H$5:$H$8*'7. Pasirinktinis scenarijus'!$C$6)</f>
        <v>0</v>
      </c>
      <c r="G79" s="62" cm="1">
        <f t="array" ref="G79">IF(AND(2035&gt;=2026,2035&lt;2026+'7. Pasirinktinis scenarijus'!$C$5),SUM('2. Investicijos'!$H$5:$H$8*'7. Pasirinktinis scenarijus'!$C$6)/'7. Pasirinktinis scenarijus'!$C$5,0)</f>
        <v>0</v>
      </c>
      <c r="H79" s="62">
        <f t="shared" si="47"/>
        <v>0</v>
      </c>
      <c r="I79" s="62">
        <f>SUM(O$5:O$8)</f>
        <v>0</v>
      </c>
      <c r="J79" s="62" t="e" cm="1">
        <f t="array" ref="J79">K79+L79+MAX(0,-R78)*IFERROR(SUMPRODUCT(IF('2. Investicijos'!$N$5:$N$8&gt;('2. Investicijos'!$H$5:$H$8*'7. Pasirinktinis scenarijus'!$C$6),'2. Investicijos'!$N$5:$N$8-('2. Investicijos'!$H$5:$H$8*'7. Pasirinktinis scenarijus'!$C$6),0),'2. Investicijos'!$O$5:$O$8/100)/SUM(IF('2. Investicijos'!$N$5:$N$8&gt;('2. Investicijos'!$H$5:$H$8*'7. Pasirinktinis scenarijus'!$C$6),'2. Investicijos'!$N$5:$N$8-('2. Investicijos'!$H$5:$H$8*'7. Pasirinktinis scenarijus'!$C$6),0)),0)</f>
        <v>#VALUE!</v>
      </c>
      <c r="K79" s="62">
        <f>SUM(AI$5:AI$8)</f>
        <v>0</v>
      </c>
      <c r="L79" s="62">
        <f>SUM(Y$5:Y$8)</f>
        <v>0</v>
      </c>
      <c r="M79" s="62">
        <f>SUM(AS$5:AS$8)</f>
        <v>0</v>
      </c>
      <c r="N79" s="62">
        <f>'3. Finansinės prielaidos'!L30+M79</f>
        <v>0</v>
      </c>
      <c r="O79" s="62">
        <f>'3. Finansinės prielaidos'!L31</f>
        <v>0</v>
      </c>
      <c r="P79" s="62">
        <f>'3. Finansinės prielaidos'!L32</f>
        <v>0</v>
      </c>
      <c r="Q79" s="62" t="e">
        <f t="shared" si="48"/>
        <v>#VALUE!</v>
      </c>
      <c r="R79" s="62" t="e">
        <f>R78+('3. Finansinės prielaidos'!L31-'3. Finansinės prielaidos'!K31)+Q79</f>
        <v>#VALUE!</v>
      </c>
      <c r="S79" s="62" t="e" cm="1">
        <f t="array" ref="S79">SUMPRODUCT(--(2035&gt;'2. Investicijos'!$F$5:$F$8),--(2035&lt;='2. Investicijos'!$F$5:$F$8+'2. Investicijos'!$G$5:$G$8),IFERROR(('2. Investicijos'!$M$5:$M$8+IF('2. Investicijos'!$N$5:$N$8&gt;('2. Investicijos'!$H$5:$H$8*'7. Pasirinktinis scenarijus'!$C$6),'2. Investicijos'!$N$5:$N$8-('2. Investicijos'!$H$5:$H$8*'7. Pasirinktinis scenarijus'!$C$6),0)+('2. Investicijos'!$H$5:$H$8*'7. Pasirinktinis scenarijus'!$C$6))/'2. Investicijos'!$G$5:$G$8,0))+SUMPRODUCT(--(2035&gt;'2. Investicijos'!$F$5:$F$8),--(2035&lt;='2. Investicijos'!$F$5:$F$8+'2. Investicijos'!$G$5:$G$8),IFERROR(('2. Investicijos'!$M$5:$M$8+IF('2. Investicijos'!$N$5:$N$8&gt;('2. Investicijos'!$H$5:$H$8*'7. Pasirinktinis scenarijus'!$C$6),'2. Investicijos'!$N$5:$N$8-('2. Investicijos'!$H$5:$H$8*'7. Pasirinktinis scenarijus'!$C$6),0))*(1-((2035-'2. Investicijos'!$F$5:$F$8)-1)/'2. Investicijos'!$G$5:$G$8),0)*'5. 0% scenarijus'!$C$5)</f>
        <v>#VALUE!</v>
      </c>
      <c r="T79" s="62" t="e">
        <f>'3. Finansinės prielaidos'!L29+S79+G79</f>
        <v>#VALUE!</v>
      </c>
      <c r="U79" s="62" t="e">
        <f t="shared" si="49"/>
        <v>#VALUE!</v>
      </c>
      <c r="V79" s="72" t="e">
        <f t="shared" si="50"/>
        <v>#VALUE!</v>
      </c>
      <c r="W79" s="72" t="e">
        <f t="shared" si="51"/>
        <v>#VALUE!</v>
      </c>
      <c r="X79" s="57" t="e">
        <f t="shared" si="52"/>
        <v>#VALUE!</v>
      </c>
      <c r="Y79" s="57" t="e">
        <f t="shared" si="53"/>
        <v>#VALUE!</v>
      </c>
      <c r="Z79" s="57"/>
      <c r="AA79" s="57"/>
      <c r="AB79" s="57"/>
      <c r="AC79" s="57"/>
      <c r="AD79" s="57"/>
      <c r="AE79" s="57"/>
      <c r="AF79" s="57"/>
      <c r="AG79" s="57"/>
      <c r="AH79" s="57"/>
      <c r="AI79" s="57"/>
      <c r="AJ79" s="57"/>
      <c r="AK79" s="57"/>
      <c r="AL79" s="57"/>
      <c r="AM79" s="57"/>
      <c r="AN79" s="57"/>
      <c r="AO79" s="57"/>
      <c r="AP79" s="57"/>
      <c r="AQ79" s="57"/>
      <c r="AR79" s="57"/>
      <c r="AS79" s="57"/>
    </row>
    <row r="80" spans="1:45">
      <c r="A80" s="57">
        <v>5</v>
      </c>
      <c r="B80" s="57">
        <v>2026</v>
      </c>
      <c r="C80" s="62">
        <f>SUM('4. Metinis CAPEX'!F$9:F$13)</f>
        <v>0</v>
      </c>
      <c r="D80" s="62" cm="1">
        <f t="array" ref="D80">SUMPRODUCT('4. Metinis CAPEX'!F$9:F$13,IFERROR('2. Investicijos'!$N$5:$N$9/'2. Investicijos'!$H$5:$H$9,0))</f>
        <v>0</v>
      </c>
      <c r="E80" s="62" cm="1">
        <f t="array" ref="E80">SUMPRODUCT('4. Metinis CAPEX'!F$9:F$13,IFERROR(('2. Investicijos'!$I$5:$I$9+'2. Investicijos'!$J$5:$J$9+'2. Investicijos'!$K$5:$K$9+'2. Investicijos'!$L$5:$L$9)/'2. Investicijos'!$H$5:$H$9,0))</f>
        <v>0</v>
      </c>
      <c r="F80" s="62" cm="1">
        <f t="array" ref="F80">SUM('2. Investicijos'!$H$5:$H$9*'7. Pasirinktinis scenarijus'!$C$6)</f>
        <v>0</v>
      </c>
      <c r="G80" s="62" cm="1">
        <f t="array" ref="G80">IF(AND(2026&gt;=2026,2026&lt;2026+'7. Pasirinktinis scenarijus'!$C$5),SUM('2. Investicijos'!$H$5:$H$9*'7. Pasirinktinis scenarijus'!$C$6)/'7. Pasirinktinis scenarijus'!$C$5,0)</f>
        <v>0</v>
      </c>
      <c r="H80" s="62">
        <f t="shared" si="47"/>
        <v>0</v>
      </c>
      <c r="I80" s="62">
        <f>SUM(F$5:F$9)</f>
        <v>0</v>
      </c>
      <c r="J80" s="62">
        <f>0</f>
        <v>0</v>
      </c>
      <c r="K80" s="62">
        <f>SUM(Z$5:Z$9)</f>
        <v>0</v>
      </c>
      <c r="L80" s="62">
        <f>SUM(P$5:P$9)</f>
        <v>0</v>
      </c>
      <c r="M80" s="62">
        <f>SUM(AJ$5:AJ$9)</f>
        <v>0</v>
      </c>
      <c r="N80" s="62">
        <f>'3. Finansinės prielaidos'!C30+M80</f>
        <v>0</v>
      </c>
      <c r="O80" s="62">
        <f>'3. Finansinės prielaidos'!C31</f>
        <v>0</v>
      </c>
      <c r="P80" s="62">
        <f>'3. Finansinės prielaidos'!C32</f>
        <v>0</v>
      </c>
      <c r="Q80" s="62" t="e">
        <f t="shared" si="48"/>
        <v>#VALUE!</v>
      </c>
      <c r="R80" s="62" t="e">
        <f>O80+Q80</f>
        <v>#VALUE!</v>
      </c>
      <c r="S80" s="62" t="e" cm="1">
        <f t="array" ref="S80">SUMPRODUCT(--(2026&gt;'2. Investicijos'!$F$5:$F$9),--(2026&lt;='2. Investicijos'!$F$5:$F$9+'2. Investicijos'!$G$5:$G$9),IFERROR(('2. Investicijos'!$M$5:$M$9+IF('2. Investicijos'!$N$5:$N$9&gt;('2. Investicijos'!$H$5:$H$9*'7. Pasirinktinis scenarijus'!$C$6),'2. Investicijos'!$N$5:$N$9-('2. Investicijos'!$H$5:$H$9*'7. Pasirinktinis scenarijus'!$C$6),0)+('2. Investicijos'!$H$5:$H$9*'7. Pasirinktinis scenarijus'!$C$6))/'2. Investicijos'!$G$5:$G$9,0))+SUMPRODUCT(--(2026&gt;'2. Investicijos'!$F$5:$F$9),--(2026&lt;='2. Investicijos'!$F$5:$F$9+'2. Investicijos'!$G$5:$G$9),IFERROR(('2. Investicijos'!$M$5:$M$9+IF('2. Investicijos'!$N$5:$N$9&gt;('2. Investicijos'!$H$5:$H$9*'7. Pasirinktinis scenarijus'!$C$6),'2. Investicijos'!$N$5:$N$9-('2. Investicijos'!$H$5:$H$9*'7. Pasirinktinis scenarijus'!$C$6),0))*(1-((2026-'2. Investicijos'!$F$5:$F$9)-1)/'2. Investicijos'!$G$5:$G$9),0)*'5. 0% scenarijus'!$C$5)</f>
        <v>#VALUE!</v>
      </c>
      <c r="T80" s="62" t="e">
        <f>'3. Finansinės prielaidos'!C29+S80+G80</f>
        <v>#VALUE!</v>
      </c>
      <c r="U80" s="62" t="e">
        <f t="shared" si="49"/>
        <v>#VALUE!</v>
      </c>
      <c r="V80" s="72" t="e">
        <f t="shared" si="50"/>
        <v>#VALUE!</v>
      </c>
      <c r="W80" s="72" t="e">
        <f t="shared" si="51"/>
        <v>#VALUE!</v>
      </c>
      <c r="X80" s="57" t="e">
        <f t="shared" si="52"/>
        <v>#VALUE!</v>
      </c>
      <c r="Y80" s="57" t="e">
        <f t="shared" si="53"/>
        <v>#VALUE!</v>
      </c>
      <c r="Z80" s="57"/>
      <c r="AA80" s="57"/>
      <c r="AB80" s="57"/>
      <c r="AC80" s="57"/>
      <c r="AD80" s="57"/>
      <c r="AE80" s="57"/>
      <c r="AF80" s="57"/>
      <c r="AG80" s="57"/>
      <c r="AH80" s="57"/>
      <c r="AI80" s="57"/>
      <c r="AJ80" s="57"/>
      <c r="AK80" s="57"/>
      <c r="AL80" s="57"/>
      <c r="AM80" s="57"/>
      <c r="AN80" s="57"/>
      <c r="AO80" s="57"/>
      <c r="AP80" s="57"/>
      <c r="AQ80" s="57"/>
      <c r="AR80" s="57"/>
      <c r="AS80" s="57"/>
    </row>
    <row r="81" spans="1:45">
      <c r="A81" s="57">
        <v>5</v>
      </c>
      <c r="B81" s="57">
        <v>2027</v>
      </c>
      <c r="C81" s="62">
        <f>SUM('4. Metinis CAPEX'!G$9:G$13)</f>
        <v>0</v>
      </c>
      <c r="D81" s="62" cm="1">
        <f t="array" ref="D81">SUMPRODUCT('4. Metinis CAPEX'!G$9:G$13,IFERROR('2. Investicijos'!$N$5:$N$9/'2. Investicijos'!$H$5:$H$9,0))</f>
        <v>0</v>
      </c>
      <c r="E81" s="62" cm="1">
        <f t="array" ref="E81">SUMPRODUCT('4. Metinis CAPEX'!G$9:G$13,IFERROR(('2. Investicijos'!$I$5:$I$9+'2. Investicijos'!$J$5:$J$9+'2. Investicijos'!$K$5:$K$9+'2. Investicijos'!$L$5:$L$9)/'2. Investicijos'!$H$5:$H$9,0))</f>
        <v>0</v>
      </c>
      <c r="F81" s="62" cm="1">
        <f t="array" ref="F81">SUM('2. Investicijos'!$H$5:$H$9*'7. Pasirinktinis scenarijus'!$C$6)</f>
        <v>0</v>
      </c>
      <c r="G81" s="62" cm="1">
        <f t="array" ref="G81">IF(AND(2027&gt;=2026,2027&lt;2026+'7. Pasirinktinis scenarijus'!$C$5),SUM('2. Investicijos'!$H$5:$H$9*'7. Pasirinktinis scenarijus'!$C$6)/'7. Pasirinktinis scenarijus'!$C$5,0)</f>
        <v>0</v>
      </c>
      <c r="H81" s="62">
        <f t="shared" si="47"/>
        <v>0</v>
      </c>
      <c r="I81" s="62">
        <f>SUM(G$5:G$9)</f>
        <v>0</v>
      </c>
      <c r="J81" s="62" t="e" cm="1">
        <f t="array" ref="J81">K81+L81+MAX(0,-R80)*IFERROR(SUMPRODUCT(IF('2. Investicijos'!$N$5:$N$9&gt;('2. Investicijos'!$H$5:$H$9*'7. Pasirinktinis scenarijus'!$C$6),'2. Investicijos'!$N$5:$N$9-('2. Investicijos'!$H$5:$H$9*'7. Pasirinktinis scenarijus'!$C$6),0),'2. Investicijos'!$O$5:$O$9/100)/SUM(IF('2. Investicijos'!$N$5:$N$9&gt;('2. Investicijos'!$H$5:$H$9*'7. Pasirinktinis scenarijus'!$C$6),'2. Investicijos'!$N$5:$N$9-('2. Investicijos'!$H$5:$H$9*'7. Pasirinktinis scenarijus'!$C$6),0)),0)</f>
        <v>#VALUE!</v>
      </c>
      <c r="K81" s="62">
        <f>SUM(AA$5:AA$9)</f>
        <v>0</v>
      </c>
      <c r="L81" s="62">
        <f>SUM(Q$5:Q$9)</f>
        <v>0</v>
      </c>
      <c r="M81" s="62">
        <f>SUM(AK$5:AK$9)</f>
        <v>0</v>
      </c>
      <c r="N81" s="62">
        <f>'3. Finansinės prielaidos'!D30+M81</f>
        <v>0</v>
      </c>
      <c r="O81" s="62">
        <f>'3. Finansinės prielaidos'!D31</f>
        <v>0</v>
      </c>
      <c r="P81" s="62">
        <f>'3. Finansinės prielaidos'!D32</f>
        <v>0</v>
      </c>
      <c r="Q81" s="62" t="e">
        <f t="shared" si="48"/>
        <v>#VALUE!</v>
      </c>
      <c r="R81" s="62" t="e">
        <f>R80+('3. Finansinės prielaidos'!D31-'3. Finansinės prielaidos'!C31)+Q81</f>
        <v>#VALUE!</v>
      </c>
      <c r="S81" s="62" t="e" cm="1">
        <f t="array" ref="S81">SUMPRODUCT(--(2027&gt;'2. Investicijos'!$F$5:$F$9),--(2027&lt;='2. Investicijos'!$F$5:$F$9+'2. Investicijos'!$G$5:$G$9),IFERROR(('2. Investicijos'!$M$5:$M$9+IF('2. Investicijos'!$N$5:$N$9&gt;('2. Investicijos'!$H$5:$H$9*'7. Pasirinktinis scenarijus'!$C$6),'2. Investicijos'!$N$5:$N$9-('2. Investicijos'!$H$5:$H$9*'7. Pasirinktinis scenarijus'!$C$6),0)+('2. Investicijos'!$H$5:$H$9*'7. Pasirinktinis scenarijus'!$C$6))/'2. Investicijos'!$G$5:$G$9,0))+SUMPRODUCT(--(2027&gt;'2. Investicijos'!$F$5:$F$9),--(2027&lt;='2. Investicijos'!$F$5:$F$9+'2. Investicijos'!$G$5:$G$9),IFERROR(('2. Investicijos'!$M$5:$M$9+IF('2. Investicijos'!$N$5:$N$9&gt;('2. Investicijos'!$H$5:$H$9*'7. Pasirinktinis scenarijus'!$C$6),'2. Investicijos'!$N$5:$N$9-('2. Investicijos'!$H$5:$H$9*'7. Pasirinktinis scenarijus'!$C$6),0))*(1-((2027-'2. Investicijos'!$F$5:$F$9)-1)/'2. Investicijos'!$G$5:$G$9),0)*'5. 0% scenarijus'!$C$5)</f>
        <v>#VALUE!</v>
      </c>
      <c r="T81" s="62" t="e">
        <f>'3. Finansinės prielaidos'!D29+S81+G81</f>
        <v>#VALUE!</v>
      </c>
      <c r="U81" s="62" t="e">
        <f t="shared" si="49"/>
        <v>#VALUE!</v>
      </c>
      <c r="V81" s="72" t="e">
        <f t="shared" si="50"/>
        <v>#VALUE!</v>
      </c>
      <c r="W81" s="72" t="e">
        <f t="shared" si="51"/>
        <v>#VALUE!</v>
      </c>
      <c r="X81" s="57" t="e">
        <f t="shared" si="52"/>
        <v>#VALUE!</v>
      </c>
      <c r="Y81" s="57" t="e">
        <f t="shared" si="53"/>
        <v>#VALUE!</v>
      </c>
      <c r="Z81" s="57"/>
      <c r="AA81" s="57"/>
      <c r="AB81" s="57"/>
      <c r="AC81" s="57"/>
      <c r="AD81" s="57"/>
      <c r="AE81" s="57"/>
      <c r="AF81" s="57"/>
      <c r="AG81" s="57"/>
      <c r="AH81" s="57"/>
      <c r="AI81" s="57"/>
      <c r="AJ81" s="57"/>
      <c r="AK81" s="57"/>
      <c r="AL81" s="57"/>
      <c r="AM81" s="57"/>
      <c r="AN81" s="57"/>
      <c r="AO81" s="57"/>
      <c r="AP81" s="57"/>
      <c r="AQ81" s="57"/>
      <c r="AR81" s="57"/>
      <c r="AS81" s="57"/>
    </row>
    <row r="82" spans="1:45">
      <c r="A82" s="57">
        <v>5</v>
      </c>
      <c r="B82" s="57">
        <v>2028</v>
      </c>
      <c r="C82" s="62">
        <f>SUM('4. Metinis CAPEX'!H$9:H$13)</f>
        <v>0</v>
      </c>
      <c r="D82" s="62" cm="1">
        <f t="array" ref="D82">SUMPRODUCT('4. Metinis CAPEX'!H$9:H$13,IFERROR('2. Investicijos'!$N$5:$N$9/'2. Investicijos'!$H$5:$H$9,0))</f>
        <v>0</v>
      </c>
      <c r="E82" s="62" cm="1">
        <f t="array" ref="E82">SUMPRODUCT('4. Metinis CAPEX'!H$9:H$13,IFERROR(('2. Investicijos'!$I$5:$I$9+'2. Investicijos'!$J$5:$J$9+'2. Investicijos'!$K$5:$K$9+'2. Investicijos'!$L$5:$L$9)/'2. Investicijos'!$H$5:$H$9,0))</f>
        <v>0</v>
      </c>
      <c r="F82" s="62" cm="1">
        <f t="array" ref="F82">SUM('2. Investicijos'!$H$5:$H$9*'7. Pasirinktinis scenarijus'!$C$6)</f>
        <v>0</v>
      </c>
      <c r="G82" s="62" cm="1">
        <f t="array" ref="G82">IF(AND(2028&gt;=2026,2028&lt;2026+'7. Pasirinktinis scenarijus'!$C$5),SUM('2. Investicijos'!$H$5:$H$9*'7. Pasirinktinis scenarijus'!$C$6)/'7. Pasirinktinis scenarijus'!$C$5,0)</f>
        <v>0</v>
      </c>
      <c r="H82" s="62">
        <f t="shared" si="47"/>
        <v>0</v>
      </c>
      <c r="I82" s="62">
        <f>SUM(H$5:H$9)</f>
        <v>0</v>
      </c>
      <c r="J82" s="62" t="e" cm="1">
        <f t="array" ref="J82">K82+L82+MAX(0,-R81)*IFERROR(SUMPRODUCT(IF('2. Investicijos'!$N$5:$N$9&gt;('2. Investicijos'!$H$5:$H$9*'7. Pasirinktinis scenarijus'!$C$6),'2. Investicijos'!$N$5:$N$9-('2. Investicijos'!$H$5:$H$9*'7. Pasirinktinis scenarijus'!$C$6),0),'2. Investicijos'!$O$5:$O$9/100)/SUM(IF('2. Investicijos'!$N$5:$N$9&gt;('2. Investicijos'!$H$5:$H$9*'7. Pasirinktinis scenarijus'!$C$6),'2. Investicijos'!$N$5:$N$9-('2. Investicijos'!$H$5:$H$9*'7. Pasirinktinis scenarijus'!$C$6),0)),0)</f>
        <v>#VALUE!</v>
      </c>
      <c r="K82" s="62">
        <f>SUM(AB$5:AB$9)</f>
        <v>0</v>
      </c>
      <c r="L82" s="62">
        <f>SUM(R$5:R$9)</f>
        <v>0</v>
      </c>
      <c r="M82" s="62">
        <f>SUM(AL$5:AL$9)</f>
        <v>0</v>
      </c>
      <c r="N82" s="62">
        <f>'3. Finansinės prielaidos'!E30+M82</f>
        <v>0</v>
      </c>
      <c r="O82" s="62">
        <f>'3. Finansinės prielaidos'!E31</f>
        <v>0</v>
      </c>
      <c r="P82" s="62">
        <f>'3. Finansinės prielaidos'!E32</f>
        <v>0</v>
      </c>
      <c r="Q82" s="62" t="e">
        <f t="shared" si="48"/>
        <v>#VALUE!</v>
      </c>
      <c r="R82" s="62" t="e">
        <f>R81+('3. Finansinės prielaidos'!E31-'3. Finansinės prielaidos'!D31)+Q82</f>
        <v>#VALUE!</v>
      </c>
      <c r="S82" s="62" t="e" cm="1">
        <f t="array" ref="S82">SUMPRODUCT(--(2028&gt;'2. Investicijos'!$F$5:$F$9),--(2028&lt;='2. Investicijos'!$F$5:$F$9+'2. Investicijos'!$G$5:$G$9),IFERROR(('2. Investicijos'!$M$5:$M$9+IF('2. Investicijos'!$N$5:$N$9&gt;('2. Investicijos'!$H$5:$H$9*'7. Pasirinktinis scenarijus'!$C$6),'2. Investicijos'!$N$5:$N$9-('2. Investicijos'!$H$5:$H$9*'7. Pasirinktinis scenarijus'!$C$6),0)+('2. Investicijos'!$H$5:$H$9*'7. Pasirinktinis scenarijus'!$C$6))/'2. Investicijos'!$G$5:$G$9,0))+SUMPRODUCT(--(2028&gt;'2. Investicijos'!$F$5:$F$9),--(2028&lt;='2. Investicijos'!$F$5:$F$9+'2. Investicijos'!$G$5:$G$9),IFERROR(('2. Investicijos'!$M$5:$M$9+IF('2. Investicijos'!$N$5:$N$9&gt;('2. Investicijos'!$H$5:$H$9*'7. Pasirinktinis scenarijus'!$C$6),'2. Investicijos'!$N$5:$N$9-('2. Investicijos'!$H$5:$H$9*'7. Pasirinktinis scenarijus'!$C$6),0))*(1-((2028-'2. Investicijos'!$F$5:$F$9)-1)/'2. Investicijos'!$G$5:$G$9),0)*'5. 0% scenarijus'!$C$5)</f>
        <v>#VALUE!</v>
      </c>
      <c r="T82" s="62" t="e">
        <f>'3. Finansinės prielaidos'!E29+S82+G82</f>
        <v>#VALUE!</v>
      </c>
      <c r="U82" s="62" t="e">
        <f t="shared" si="49"/>
        <v>#VALUE!</v>
      </c>
      <c r="V82" s="72" t="e">
        <f t="shared" si="50"/>
        <v>#VALUE!</v>
      </c>
      <c r="W82" s="72" t="e">
        <f t="shared" si="51"/>
        <v>#VALUE!</v>
      </c>
      <c r="X82" s="57" t="e">
        <f t="shared" si="52"/>
        <v>#VALUE!</v>
      </c>
      <c r="Y82" s="57" t="e">
        <f t="shared" si="53"/>
        <v>#VALUE!</v>
      </c>
      <c r="Z82" s="57"/>
      <c r="AA82" s="57"/>
      <c r="AB82" s="57"/>
      <c r="AC82" s="57"/>
      <c r="AD82" s="57"/>
      <c r="AE82" s="57"/>
      <c r="AF82" s="57"/>
      <c r="AG82" s="57"/>
      <c r="AH82" s="57"/>
      <c r="AI82" s="57"/>
      <c r="AJ82" s="57"/>
      <c r="AK82" s="57"/>
      <c r="AL82" s="57"/>
      <c r="AM82" s="57"/>
      <c r="AN82" s="57"/>
      <c r="AO82" s="57"/>
      <c r="AP82" s="57"/>
      <c r="AQ82" s="57"/>
      <c r="AR82" s="57"/>
      <c r="AS82" s="57"/>
    </row>
    <row r="83" spans="1:45">
      <c r="A83" s="57">
        <v>5</v>
      </c>
      <c r="B83" s="57">
        <v>2029</v>
      </c>
      <c r="C83" s="62">
        <f>SUM('4. Metinis CAPEX'!I$9:I$13)</f>
        <v>0</v>
      </c>
      <c r="D83" s="62" cm="1">
        <f t="array" ref="D83">SUMPRODUCT('4. Metinis CAPEX'!I$9:I$13,IFERROR('2. Investicijos'!$N$5:$N$9/'2. Investicijos'!$H$5:$H$9,0))</f>
        <v>0</v>
      </c>
      <c r="E83" s="62" cm="1">
        <f t="array" ref="E83">SUMPRODUCT('4. Metinis CAPEX'!I$9:I$13,IFERROR(('2. Investicijos'!$I$5:$I$9+'2. Investicijos'!$J$5:$J$9+'2. Investicijos'!$K$5:$K$9+'2. Investicijos'!$L$5:$L$9)/'2. Investicijos'!$H$5:$H$9,0))</f>
        <v>0</v>
      </c>
      <c r="F83" s="62" cm="1">
        <f t="array" ref="F83">SUM('2. Investicijos'!$H$5:$H$9*'7. Pasirinktinis scenarijus'!$C$6)</f>
        <v>0</v>
      </c>
      <c r="G83" s="62" cm="1">
        <f t="array" ref="G83">IF(AND(2029&gt;=2026,2029&lt;2026+'7. Pasirinktinis scenarijus'!$C$5),SUM('2. Investicijos'!$H$5:$H$9*'7. Pasirinktinis scenarijus'!$C$6)/'7. Pasirinktinis scenarijus'!$C$5,0)</f>
        <v>0</v>
      </c>
      <c r="H83" s="62">
        <f t="shared" si="47"/>
        <v>0</v>
      </c>
      <c r="I83" s="62">
        <f>SUM(I$5:I$9)</f>
        <v>0</v>
      </c>
      <c r="J83" s="62" t="e" cm="1">
        <f t="array" ref="J83">K83+L83+MAX(0,-R82)*IFERROR(SUMPRODUCT(IF('2. Investicijos'!$N$5:$N$9&gt;('2. Investicijos'!$H$5:$H$9*'7. Pasirinktinis scenarijus'!$C$6),'2. Investicijos'!$N$5:$N$9-('2. Investicijos'!$H$5:$H$9*'7. Pasirinktinis scenarijus'!$C$6),0),'2. Investicijos'!$O$5:$O$9/100)/SUM(IF('2. Investicijos'!$N$5:$N$9&gt;('2. Investicijos'!$H$5:$H$9*'7. Pasirinktinis scenarijus'!$C$6),'2. Investicijos'!$N$5:$N$9-('2. Investicijos'!$H$5:$H$9*'7. Pasirinktinis scenarijus'!$C$6),0)),0)</f>
        <v>#VALUE!</v>
      </c>
      <c r="K83" s="62">
        <f>SUM(AC$5:AC$9)</f>
        <v>0</v>
      </c>
      <c r="L83" s="62">
        <f>SUM(S$5:S$9)</f>
        <v>0</v>
      </c>
      <c r="M83" s="62">
        <f>SUM(AM$5:AM$9)</f>
        <v>0</v>
      </c>
      <c r="N83" s="62">
        <f>'3. Finansinės prielaidos'!F30+M83</f>
        <v>0</v>
      </c>
      <c r="O83" s="62">
        <f>'3. Finansinės prielaidos'!F31</f>
        <v>0</v>
      </c>
      <c r="P83" s="62">
        <f>'3. Finansinės prielaidos'!F32</f>
        <v>0</v>
      </c>
      <c r="Q83" s="62" t="e">
        <f t="shared" si="48"/>
        <v>#VALUE!</v>
      </c>
      <c r="R83" s="62" t="e">
        <f>R82+('3. Finansinės prielaidos'!F31-'3. Finansinės prielaidos'!E31)+Q83</f>
        <v>#VALUE!</v>
      </c>
      <c r="S83" s="62" t="e" cm="1">
        <f t="array" ref="S83">SUMPRODUCT(--(2029&gt;'2. Investicijos'!$F$5:$F$9),--(2029&lt;='2. Investicijos'!$F$5:$F$9+'2. Investicijos'!$G$5:$G$9),IFERROR(('2. Investicijos'!$M$5:$M$9+IF('2. Investicijos'!$N$5:$N$9&gt;('2. Investicijos'!$H$5:$H$9*'7. Pasirinktinis scenarijus'!$C$6),'2. Investicijos'!$N$5:$N$9-('2. Investicijos'!$H$5:$H$9*'7. Pasirinktinis scenarijus'!$C$6),0)+('2. Investicijos'!$H$5:$H$9*'7. Pasirinktinis scenarijus'!$C$6))/'2. Investicijos'!$G$5:$G$9,0))+SUMPRODUCT(--(2029&gt;'2. Investicijos'!$F$5:$F$9),--(2029&lt;='2. Investicijos'!$F$5:$F$9+'2. Investicijos'!$G$5:$G$9),IFERROR(('2. Investicijos'!$M$5:$M$9+IF('2. Investicijos'!$N$5:$N$9&gt;('2. Investicijos'!$H$5:$H$9*'7. Pasirinktinis scenarijus'!$C$6),'2. Investicijos'!$N$5:$N$9-('2. Investicijos'!$H$5:$H$9*'7. Pasirinktinis scenarijus'!$C$6),0))*(1-((2029-'2. Investicijos'!$F$5:$F$9)-1)/'2. Investicijos'!$G$5:$G$9),0)*'5. 0% scenarijus'!$C$5)</f>
        <v>#VALUE!</v>
      </c>
      <c r="T83" s="62" t="e">
        <f>'3. Finansinės prielaidos'!F29+S83+G83</f>
        <v>#VALUE!</v>
      </c>
      <c r="U83" s="62" t="e">
        <f t="shared" si="49"/>
        <v>#VALUE!</v>
      </c>
      <c r="V83" s="72" t="e">
        <f t="shared" si="50"/>
        <v>#VALUE!</v>
      </c>
      <c r="W83" s="72" t="e">
        <f t="shared" si="51"/>
        <v>#VALUE!</v>
      </c>
      <c r="X83" s="57" t="e">
        <f t="shared" si="52"/>
        <v>#VALUE!</v>
      </c>
      <c r="Y83" s="57" t="e">
        <f t="shared" si="53"/>
        <v>#VALUE!</v>
      </c>
      <c r="Z83" s="57"/>
      <c r="AA83" s="57"/>
      <c r="AB83" s="57"/>
      <c r="AC83" s="57"/>
      <c r="AD83" s="57"/>
      <c r="AE83" s="57"/>
      <c r="AF83" s="57"/>
      <c r="AG83" s="57"/>
      <c r="AH83" s="57"/>
      <c r="AI83" s="57"/>
      <c r="AJ83" s="57"/>
      <c r="AK83" s="57"/>
      <c r="AL83" s="57"/>
      <c r="AM83" s="57"/>
      <c r="AN83" s="57"/>
      <c r="AO83" s="57"/>
      <c r="AP83" s="57"/>
      <c r="AQ83" s="57"/>
      <c r="AR83" s="57"/>
      <c r="AS83" s="57"/>
    </row>
    <row r="84" spans="1:45">
      <c r="A84" s="57">
        <v>5</v>
      </c>
      <c r="B84" s="57">
        <v>2030</v>
      </c>
      <c r="C84" s="62">
        <f>SUM('4. Metinis CAPEX'!J$9:J$13)</f>
        <v>0</v>
      </c>
      <c r="D84" s="62" cm="1">
        <f t="array" ref="D84">SUMPRODUCT('4. Metinis CAPEX'!J$9:J$13,IFERROR('2. Investicijos'!$N$5:$N$9/'2. Investicijos'!$H$5:$H$9,0))</f>
        <v>0</v>
      </c>
      <c r="E84" s="62" cm="1">
        <f t="array" ref="E84">SUMPRODUCT('4. Metinis CAPEX'!J$9:J$13,IFERROR(('2. Investicijos'!$I$5:$I$9+'2. Investicijos'!$J$5:$J$9+'2. Investicijos'!$K$5:$K$9+'2. Investicijos'!$L$5:$L$9)/'2. Investicijos'!$H$5:$H$9,0))</f>
        <v>0</v>
      </c>
      <c r="F84" s="62" cm="1">
        <f t="array" ref="F84">SUM('2. Investicijos'!$H$5:$H$9*'7. Pasirinktinis scenarijus'!$C$6)</f>
        <v>0</v>
      </c>
      <c r="G84" s="62" cm="1">
        <f t="array" ref="G84">IF(AND(2030&gt;=2026,2030&lt;2026+'7. Pasirinktinis scenarijus'!$C$5),SUM('2. Investicijos'!$H$5:$H$9*'7. Pasirinktinis scenarijus'!$C$6)/'7. Pasirinktinis scenarijus'!$C$5,0)</f>
        <v>0</v>
      </c>
      <c r="H84" s="62">
        <f t="shared" si="47"/>
        <v>0</v>
      </c>
      <c r="I84" s="62">
        <f>SUM(J$5:J$9)</f>
        <v>0</v>
      </c>
      <c r="J84" s="62" t="e" cm="1">
        <f t="array" ref="J84">K84+L84+MAX(0,-R83)*IFERROR(SUMPRODUCT(IF('2. Investicijos'!$N$5:$N$9&gt;('2. Investicijos'!$H$5:$H$9*'7. Pasirinktinis scenarijus'!$C$6),'2. Investicijos'!$N$5:$N$9-('2. Investicijos'!$H$5:$H$9*'7. Pasirinktinis scenarijus'!$C$6),0),'2. Investicijos'!$O$5:$O$9/100)/SUM(IF('2. Investicijos'!$N$5:$N$9&gt;('2. Investicijos'!$H$5:$H$9*'7. Pasirinktinis scenarijus'!$C$6),'2. Investicijos'!$N$5:$N$9-('2. Investicijos'!$H$5:$H$9*'7. Pasirinktinis scenarijus'!$C$6),0)),0)</f>
        <v>#VALUE!</v>
      </c>
      <c r="K84" s="62">
        <f>SUM(AD$5:AD$9)</f>
        <v>0</v>
      </c>
      <c r="L84" s="62">
        <f>SUM(T$5:T$9)</f>
        <v>0</v>
      </c>
      <c r="M84" s="62">
        <f>SUM(AN$5:AN$9)</f>
        <v>0</v>
      </c>
      <c r="N84" s="62">
        <f>'3. Finansinės prielaidos'!G30+M84</f>
        <v>0</v>
      </c>
      <c r="O84" s="62">
        <f>'3. Finansinės prielaidos'!G31</f>
        <v>0</v>
      </c>
      <c r="P84" s="62">
        <f>'3. Finansinės prielaidos'!G32</f>
        <v>0</v>
      </c>
      <c r="Q84" s="62" t="e">
        <f t="shared" si="48"/>
        <v>#VALUE!</v>
      </c>
      <c r="R84" s="62" t="e">
        <f>R83+('3. Finansinės prielaidos'!G31-'3. Finansinės prielaidos'!F31)+Q84</f>
        <v>#VALUE!</v>
      </c>
      <c r="S84" s="62" t="e" cm="1">
        <f t="array" ref="S84">SUMPRODUCT(--(2030&gt;'2. Investicijos'!$F$5:$F$9),--(2030&lt;='2. Investicijos'!$F$5:$F$9+'2. Investicijos'!$G$5:$G$9),IFERROR(('2. Investicijos'!$M$5:$M$9+IF('2. Investicijos'!$N$5:$N$9&gt;('2. Investicijos'!$H$5:$H$9*'7. Pasirinktinis scenarijus'!$C$6),'2. Investicijos'!$N$5:$N$9-('2. Investicijos'!$H$5:$H$9*'7. Pasirinktinis scenarijus'!$C$6),0)+('2. Investicijos'!$H$5:$H$9*'7. Pasirinktinis scenarijus'!$C$6))/'2. Investicijos'!$G$5:$G$9,0))+SUMPRODUCT(--(2030&gt;'2. Investicijos'!$F$5:$F$9),--(2030&lt;='2. Investicijos'!$F$5:$F$9+'2. Investicijos'!$G$5:$G$9),IFERROR(('2. Investicijos'!$M$5:$M$9+IF('2. Investicijos'!$N$5:$N$9&gt;('2. Investicijos'!$H$5:$H$9*'7. Pasirinktinis scenarijus'!$C$6),'2. Investicijos'!$N$5:$N$9-('2. Investicijos'!$H$5:$H$9*'7. Pasirinktinis scenarijus'!$C$6),0))*(1-((2030-'2. Investicijos'!$F$5:$F$9)-1)/'2. Investicijos'!$G$5:$G$9),0)*'5. 0% scenarijus'!$C$5)</f>
        <v>#VALUE!</v>
      </c>
      <c r="T84" s="62" t="e">
        <f>'3. Finansinės prielaidos'!G29+S84+G84</f>
        <v>#VALUE!</v>
      </c>
      <c r="U84" s="62" t="e">
        <f t="shared" si="49"/>
        <v>#VALUE!</v>
      </c>
      <c r="V84" s="72" t="e">
        <f t="shared" si="50"/>
        <v>#VALUE!</v>
      </c>
      <c r="W84" s="72" t="e">
        <f t="shared" si="51"/>
        <v>#VALUE!</v>
      </c>
      <c r="X84" s="57" t="e">
        <f t="shared" si="52"/>
        <v>#VALUE!</v>
      </c>
      <c r="Y84" s="57" t="e">
        <f t="shared" si="53"/>
        <v>#VALUE!</v>
      </c>
      <c r="Z84" s="57"/>
      <c r="AA84" s="57"/>
      <c r="AB84" s="57"/>
      <c r="AC84" s="57"/>
      <c r="AD84" s="57"/>
      <c r="AE84" s="57"/>
      <c r="AF84" s="57"/>
      <c r="AG84" s="57"/>
      <c r="AH84" s="57"/>
      <c r="AI84" s="57"/>
      <c r="AJ84" s="57"/>
      <c r="AK84" s="57"/>
      <c r="AL84" s="57"/>
      <c r="AM84" s="57"/>
      <c r="AN84" s="57"/>
      <c r="AO84" s="57"/>
      <c r="AP84" s="57"/>
      <c r="AQ84" s="57"/>
      <c r="AR84" s="57"/>
      <c r="AS84" s="57"/>
    </row>
    <row r="85" spans="1:45">
      <c r="A85" s="57">
        <v>5</v>
      </c>
      <c r="B85" s="57">
        <v>2031</v>
      </c>
      <c r="C85" s="62">
        <f>SUM('4. Metinis CAPEX'!K$9:K$13)</f>
        <v>0</v>
      </c>
      <c r="D85" s="62" cm="1">
        <f t="array" ref="D85">SUMPRODUCT('4. Metinis CAPEX'!K$9:K$13,IFERROR('2. Investicijos'!$N$5:$N$9/'2. Investicijos'!$H$5:$H$9,0))</f>
        <v>0</v>
      </c>
      <c r="E85" s="62" cm="1">
        <f t="array" ref="E85">SUMPRODUCT('4. Metinis CAPEX'!K$9:K$13,IFERROR(('2. Investicijos'!$I$5:$I$9+'2. Investicijos'!$J$5:$J$9+'2. Investicijos'!$K$5:$K$9+'2. Investicijos'!$L$5:$L$9)/'2. Investicijos'!$H$5:$H$9,0))</f>
        <v>0</v>
      </c>
      <c r="F85" s="62" cm="1">
        <f t="array" ref="F85">SUM('2. Investicijos'!$H$5:$H$9*'7. Pasirinktinis scenarijus'!$C$6)</f>
        <v>0</v>
      </c>
      <c r="G85" s="62" cm="1">
        <f t="array" ref="G85">IF(AND(2031&gt;=2026,2031&lt;2026+'7. Pasirinktinis scenarijus'!$C$5),SUM('2. Investicijos'!$H$5:$H$9*'7. Pasirinktinis scenarijus'!$C$6)/'7. Pasirinktinis scenarijus'!$C$5,0)</f>
        <v>0</v>
      </c>
      <c r="H85" s="62">
        <f t="shared" si="47"/>
        <v>0</v>
      </c>
      <c r="I85" s="62">
        <f>SUM(K$5:K$9)</f>
        <v>0</v>
      </c>
      <c r="J85" s="62" t="e" cm="1">
        <f t="array" ref="J85">K85+L85+MAX(0,-R84)*IFERROR(SUMPRODUCT(IF('2. Investicijos'!$N$5:$N$9&gt;('2. Investicijos'!$H$5:$H$9*'7. Pasirinktinis scenarijus'!$C$6),'2. Investicijos'!$N$5:$N$9-('2. Investicijos'!$H$5:$H$9*'7. Pasirinktinis scenarijus'!$C$6),0),'2. Investicijos'!$O$5:$O$9/100)/SUM(IF('2. Investicijos'!$N$5:$N$9&gt;('2. Investicijos'!$H$5:$H$9*'7. Pasirinktinis scenarijus'!$C$6),'2. Investicijos'!$N$5:$N$9-('2. Investicijos'!$H$5:$H$9*'7. Pasirinktinis scenarijus'!$C$6),0)),0)</f>
        <v>#VALUE!</v>
      </c>
      <c r="K85" s="62">
        <f>SUM(AE$5:AE$9)</f>
        <v>0</v>
      </c>
      <c r="L85" s="62">
        <f>SUM(U$5:U$9)</f>
        <v>0</v>
      </c>
      <c r="M85" s="62">
        <f>SUM(AO$5:AO$9)</f>
        <v>0</v>
      </c>
      <c r="N85" s="62">
        <f>'3. Finansinės prielaidos'!H30+M85</f>
        <v>0</v>
      </c>
      <c r="O85" s="62">
        <f>'3. Finansinės prielaidos'!H31</f>
        <v>0</v>
      </c>
      <c r="P85" s="62">
        <f>'3. Finansinės prielaidos'!H32</f>
        <v>0</v>
      </c>
      <c r="Q85" s="62" t="e">
        <f t="shared" si="48"/>
        <v>#VALUE!</v>
      </c>
      <c r="R85" s="62" t="e">
        <f>R84+('3. Finansinės prielaidos'!H31-'3. Finansinės prielaidos'!G31)+Q85</f>
        <v>#VALUE!</v>
      </c>
      <c r="S85" s="62" t="e" cm="1">
        <f t="array" ref="S85">SUMPRODUCT(--(2031&gt;'2. Investicijos'!$F$5:$F$9),--(2031&lt;='2. Investicijos'!$F$5:$F$9+'2. Investicijos'!$G$5:$G$9),IFERROR(('2. Investicijos'!$M$5:$M$9+IF('2. Investicijos'!$N$5:$N$9&gt;('2. Investicijos'!$H$5:$H$9*'7. Pasirinktinis scenarijus'!$C$6),'2. Investicijos'!$N$5:$N$9-('2. Investicijos'!$H$5:$H$9*'7. Pasirinktinis scenarijus'!$C$6),0)+('2. Investicijos'!$H$5:$H$9*'7. Pasirinktinis scenarijus'!$C$6))/'2. Investicijos'!$G$5:$G$9,0))+SUMPRODUCT(--(2031&gt;'2. Investicijos'!$F$5:$F$9),--(2031&lt;='2. Investicijos'!$F$5:$F$9+'2. Investicijos'!$G$5:$G$9),IFERROR(('2. Investicijos'!$M$5:$M$9+IF('2. Investicijos'!$N$5:$N$9&gt;('2. Investicijos'!$H$5:$H$9*'7. Pasirinktinis scenarijus'!$C$6),'2. Investicijos'!$N$5:$N$9-('2. Investicijos'!$H$5:$H$9*'7. Pasirinktinis scenarijus'!$C$6),0))*(1-((2031-'2. Investicijos'!$F$5:$F$9)-1)/'2. Investicijos'!$G$5:$G$9),0)*'5. 0% scenarijus'!$C$5)</f>
        <v>#VALUE!</v>
      </c>
      <c r="T85" s="62" t="e">
        <f>'3. Finansinės prielaidos'!H29+S85+G85</f>
        <v>#VALUE!</v>
      </c>
      <c r="U85" s="62" t="e">
        <f t="shared" si="49"/>
        <v>#VALUE!</v>
      </c>
      <c r="V85" s="72" t="e">
        <f t="shared" si="50"/>
        <v>#VALUE!</v>
      </c>
      <c r="W85" s="72" t="e">
        <f t="shared" si="51"/>
        <v>#VALUE!</v>
      </c>
      <c r="X85" s="57" t="e">
        <f t="shared" si="52"/>
        <v>#VALUE!</v>
      </c>
      <c r="Y85" s="57" t="e">
        <f t="shared" si="53"/>
        <v>#VALUE!</v>
      </c>
      <c r="Z85" s="57"/>
      <c r="AA85" s="57"/>
      <c r="AB85" s="57"/>
      <c r="AC85" s="57"/>
      <c r="AD85" s="57"/>
      <c r="AE85" s="57"/>
      <c r="AF85" s="57"/>
      <c r="AG85" s="57"/>
      <c r="AH85" s="57"/>
      <c r="AI85" s="57"/>
      <c r="AJ85" s="57"/>
      <c r="AK85" s="57"/>
      <c r="AL85" s="57"/>
      <c r="AM85" s="57"/>
      <c r="AN85" s="57"/>
      <c r="AO85" s="57"/>
      <c r="AP85" s="57"/>
      <c r="AQ85" s="57"/>
      <c r="AR85" s="57"/>
      <c r="AS85" s="57"/>
    </row>
    <row r="86" spans="1:45">
      <c r="A86" s="57">
        <v>5</v>
      </c>
      <c r="B86" s="57">
        <v>2032</v>
      </c>
      <c r="C86" s="62">
        <f>SUM('4. Metinis CAPEX'!L$9:L$13)</f>
        <v>0</v>
      </c>
      <c r="D86" s="62" cm="1">
        <f t="array" ref="D86">SUMPRODUCT('4. Metinis CAPEX'!L$9:L$13,IFERROR('2. Investicijos'!$N$5:$N$9/'2. Investicijos'!$H$5:$H$9,0))</f>
        <v>0</v>
      </c>
      <c r="E86" s="62" cm="1">
        <f t="array" ref="E86">SUMPRODUCT('4. Metinis CAPEX'!L$9:L$13,IFERROR(('2. Investicijos'!$I$5:$I$9+'2. Investicijos'!$J$5:$J$9+'2. Investicijos'!$K$5:$K$9+'2. Investicijos'!$L$5:$L$9)/'2. Investicijos'!$H$5:$H$9,0))</f>
        <v>0</v>
      </c>
      <c r="F86" s="62" cm="1">
        <f t="array" ref="F86">SUM('2. Investicijos'!$H$5:$H$9*'7. Pasirinktinis scenarijus'!$C$6)</f>
        <v>0</v>
      </c>
      <c r="G86" s="62" cm="1">
        <f t="array" ref="G86">IF(AND(2032&gt;=2026,2032&lt;2026+'7. Pasirinktinis scenarijus'!$C$5),SUM('2. Investicijos'!$H$5:$H$9*'7. Pasirinktinis scenarijus'!$C$6)/'7. Pasirinktinis scenarijus'!$C$5,0)</f>
        <v>0</v>
      </c>
      <c r="H86" s="62">
        <f t="shared" si="47"/>
        <v>0</v>
      </c>
      <c r="I86" s="62">
        <f>SUM(L$5:L$9)</f>
        <v>0</v>
      </c>
      <c r="J86" s="62" t="e" cm="1">
        <f t="array" ref="J86">K86+L86+MAX(0,-R85)*IFERROR(SUMPRODUCT(IF('2. Investicijos'!$N$5:$N$9&gt;('2. Investicijos'!$H$5:$H$9*'7. Pasirinktinis scenarijus'!$C$6),'2. Investicijos'!$N$5:$N$9-('2. Investicijos'!$H$5:$H$9*'7. Pasirinktinis scenarijus'!$C$6),0),'2. Investicijos'!$O$5:$O$9/100)/SUM(IF('2. Investicijos'!$N$5:$N$9&gt;('2. Investicijos'!$H$5:$H$9*'7. Pasirinktinis scenarijus'!$C$6),'2. Investicijos'!$N$5:$N$9-('2. Investicijos'!$H$5:$H$9*'7. Pasirinktinis scenarijus'!$C$6),0)),0)</f>
        <v>#VALUE!</v>
      </c>
      <c r="K86" s="62">
        <f>SUM(AF$5:AF$9)</f>
        <v>0</v>
      </c>
      <c r="L86" s="62">
        <f>SUM(V$5:V$9)</f>
        <v>0</v>
      </c>
      <c r="M86" s="62">
        <f>SUM(AP$5:AP$9)</f>
        <v>0</v>
      </c>
      <c r="N86" s="62">
        <f>'3. Finansinės prielaidos'!I30+M86</f>
        <v>0</v>
      </c>
      <c r="O86" s="62">
        <f>'3. Finansinės prielaidos'!I31</f>
        <v>0</v>
      </c>
      <c r="P86" s="62">
        <f>'3. Finansinės prielaidos'!I32</f>
        <v>0</v>
      </c>
      <c r="Q86" s="62" t="e">
        <f t="shared" si="48"/>
        <v>#VALUE!</v>
      </c>
      <c r="R86" s="62" t="e">
        <f>R85+('3. Finansinės prielaidos'!I31-'3. Finansinės prielaidos'!H31)+Q86</f>
        <v>#VALUE!</v>
      </c>
      <c r="S86" s="62" t="e" cm="1">
        <f t="array" ref="S86">SUMPRODUCT(--(2032&gt;'2. Investicijos'!$F$5:$F$9),--(2032&lt;='2. Investicijos'!$F$5:$F$9+'2. Investicijos'!$G$5:$G$9),IFERROR(('2. Investicijos'!$M$5:$M$9+IF('2. Investicijos'!$N$5:$N$9&gt;('2. Investicijos'!$H$5:$H$9*'7. Pasirinktinis scenarijus'!$C$6),'2. Investicijos'!$N$5:$N$9-('2. Investicijos'!$H$5:$H$9*'7. Pasirinktinis scenarijus'!$C$6),0)+('2. Investicijos'!$H$5:$H$9*'7. Pasirinktinis scenarijus'!$C$6))/'2. Investicijos'!$G$5:$G$9,0))+SUMPRODUCT(--(2032&gt;'2. Investicijos'!$F$5:$F$9),--(2032&lt;='2. Investicijos'!$F$5:$F$9+'2. Investicijos'!$G$5:$G$9),IFERROR(('2. Investicijos'!$M$5:$M$9+IF('2. Investicijos'!$N$5:$N$9&gt;('2. Investicijos'!$H$5:$H$9*'7. Pasirinktinis scenarijus'!$C$6),'2. Investicijos'!$N$5:$N$9-('2. Investicijos'!$H$5:$H$9*'7. Pasirinktinis scenarijus'!$C$6),0))*(1-((2032-'2. Investicijos'!$F$5:$F$9)-1)/'2. Investicijos'!$G$5:$G$9),0)*'5. 0% scenarijus'!$C$5)</f>
        <v>#VALUE!</v>
      </c>
      <c r="T86" s="62" t="e">
        <f>'3. Finansinės prielaidos'!I29+S86+G86</f>
        <v>#VALUE!</v>
      </c>
      <c r="U86" s="62" t="e">
        <f t="shared" si="49"/>
        <v>#VALUE!</v>
      </c>
      <c r="V86" s="72" t="e">
        <f t="shared" si="50"/>
        <v>#VALUE!</v>
      </c>
      <c r="W86" s="72" t="e">
        <f t="shared" si="51"/>
        <v>#VALUE!</v>
      </c>
      <c r="X86" s="57" t="e">
        <f t="shared" si="52"/>
        <v>#VALUE!</v>
      </c>
      <c r="Y86" s="57" t="e">
        <f t="shared" si="53"/>
        <v>#VALUE!</v>
      </c>
      <c r="Z86" s="57"/>
      <c r="AA86" s="57"/>
      <c r="AB86" s="57"/>
      <c r="AC86" s="57"/>
      <c r="AD86" s="57"/>
      <c r="AE86" s="57"/>
      <c r="AF86" s="57"/>
      <c r="AG86" s="57"/>
      <c r="AH86" s="57"/>
      <c r="AI86" s="57"/>
      <c r="AJ86" s="57"/>
      <c r="AK86" s="57"/>
      <c r="AL86" s="57"/>
      <c r="AM86" s="57"/>
      <c r="AN86" s="57"/>
      <c r="AO86" s="57"/>
      <c r="AP86" s="57"/>
      <c r="AQ86" s="57"/>
      <c r="AR86" s="57"/>
      <c r="AS86" s="57"/>
    </row>
    <row r="87" spans="1:45">
      <c r="A87" s="57">
        <v>5</v>
      </c>
      <c r="B87" s="57">
        <v>2033</v>
      </c>
      <c r="C87" s="62">
        <f>SUM('4. Metinis CAPEX'!M$9:M$13)</f>
        <v>0</v>
      </c>
      <c r="D87" s="62" cm="1">
        <f t="array" ref="D87">SUMPRODUCT('4. Metinis CAPEX'!M$9:M$13,IFERROR('2. Investicijos'!$N$5:$N$9/'2. Investicijos'!$H$5:$H$9,0))</f>
        <v>0</v>
      </c>
      <c r="E87" s="62" cm="1">
        <f t="array" ref="E87">SUMPRODUCT('4. Metinis CAPEX'!M$9:M$13,IFERROR(('2. Investicijos'!$I$5:$I$9+'2. Investicijos'!$J$5:$J$9+'2. Investicijos'!$K$5:$K$9+'2. Investicijos'!$L$5:$L$9)/'2. Investicijos'!$H$5:$H$9,0))</f>
        <v>0</v>
      </c>
      <c r="F87" s="62" cm="1">
        <f t="array" ref="F87">SUM('2. Investicijos'!$H$5:$H$9*'7. Pasirinktinis scenarijus'!$C$6)</f>
        <v>0</v>
      </c>
      <c r="G87" s="62" cm="1">
        <f t="array" ref="G87">IF(AND(2033&gt;=2026,2033&lt;2026+'7. Pasirinktinis scenarijus'!$C$5),SUM('2. Investicijos'!$H$5:$H$9*'7. Pasirinktinis scenarijus'!$C$6)/'7. Pasirinktinis scenarijus'!$C$5,0)</f>
        <v>0</v>
      </c>
      <c r="H87" s="62">
        <f t="shared" si="47"/>
        <v>0</v>
      </c>
      <c r="I87" s="62">
        <f>SUM(M$5:M$9)</f>
        <v>0</v>
      </c>
      <c r="J87" s="62" t="e" cm="1">
        <f t="array" ref="J87">K87+L87+MAX(0,-R86)*IFERROR(SUMPRODUCT(IF('2. Investicijos'!$N$5:$N$9&gt;('2. Investicijos'!$H$5:$H$9*'7. Pasirinktinis scenarijus'!$C$6),'2. Investicijos'!$N$5:$N$9-('2. Investicijos'!$H$5:$H$9*'7. Pasirinktinis scenarijus'!$C$6),0),'2. Investicijos'!$O$5:$O$9/100)/SUM(IF('2. Investicijos'!$N$5:$N$9&gt;('2. Investicijos'!$H$5:$H$9*'7. Pasirinktinis scenarijus'!$C$6),'2. Investicijos'!$N$5:$N$9-('2. Investicijos'!$H$5:$H$9*'7. Pasirinktinis scenarijus'!$C$6),0)),0)</f>
        <v>#VALUE!</v>
      </c>
      <c r="K87" s="62">
        <f>SUM(AG$5:AG$9)</f>
        <v>0</v>
      </c>
      <c r="L87" s="62">
        <f>SUM(W$5:W$9)</f>
        <v>0</v>
      </c>
      <c r="M87" s="62">
        <f>SUM(AQ$5:AQ$9)</f>
        <v>0</v>
      </c>
      <c r="N87" s="62">
        <f>'3. Finansinės prielaidos'!J30+M87</f>
        <v>0</v>
      </c>
      <c r="O87" s="62">
        <f>'3. Finansinės prielaidos'!J31</f>
        <v>0</v>
      </c>
      <c r="P87" s="62">
        <f>'3. Finansinės prielaidos'!J32</f>
        <v>0</v>
      </c>
      <c r="Q87" s="62" t="e">
        <f t="shared" si="48"/>
        <v>#VALUE!</v>
      </c>
      <c r="R87" s="62" t="e">
        <f>R86+('3. Finansinės prielaidos'!J31-'3. Finansinės prielaidos'!I31)+Q87</f>
        <v>#VALUE!</v>
      </c>
      <c r="S87" s="62" t="e" cm="1">
        <f t="array" ref="S87">SUMPRODUCT(--(2033&gt;'2. Investicijos'!$F$5:$F$9),--(2033&lt;='2. Investicijos'!$F$5:$F$9+'2. Investicijos'!$G$5:$G$9),IFERROR(('2. Investicijos'!$M$5:$M$9+IF('2. Investicijos'!$N$5:$N$9&gt;('2. Investicijos'!$H$5:$H$9*'7. Pasirinktinis scenarijus'!$C$6),'2. Investicijos'!$N$5:$N$9-('2. Investicijos'!$H$5:$H$9*'7. Pasirinktinis scenarijus'!$C$6),0)+('2. Investicijos'!$H$5:$H$9*'7. Pasirinktinis scenarijus'!$C$6))/'2. Investicijos'!$G$5:$G$9,0))+SUMPRODUCT(--(2033&gt;'2. Investicijos'!$F$5:$F$9),--(2033&lt;='2. Investicijos'!$F$5:$F$9+'2. Investicijos'!$G$5:$G$9),IFERROR(('2. Investicijos'!$M$5:$M$9+IF('2. Investicijos'!$N$5:$N$9&gt;('2. Investicijos'!$H$5:$H$9*'7. Pasirinktinis scenarijus'!$C$6),'2. Investicijos'!$N$5:$N$9-('2. Investicijos'!$H$5:$H$9*'7. Pasirinktinis scenarijus'!$C$6),0))*(1-((2033-'2. Investicijos'!$F$5:$F$9)-1)/'2. Investicijos'!$G$5:$G$9),0)*'5. 0% scenarijus'!$C$5)</f>
        <v>#VALUE!</v>
      </c>
      <c r="T87" s="62" t="e">
        <f>'3. Finansinės prielaidos'!J29+S87+G87</f>
        <v>#VALUE!</v>
      </c>
      <c r="U87" s="62" t="e">
        <f t="shared" si="49"/>
        <v>#VALUE!</v>
      </c>
      <c r="V87" s="72" t="e">
        <f t="shared" si="50"/>
        <v>#VALUE!</v>
      </c>
      <c r="W87" s="72" t="e">
        <f t="shared" si="51"/>
        <v>#VALUE!</v>
      </c>
      <c r="X87" s="57" t="e">
        <f t="shared" si="52"/>
        <v>#VALUE!</v>
      </c>
      <c r="Y87" s="57" t="e">
        <f t="shared" si="53"/>
        <v>#VALUE!</v>
      </c>
      <c r="Z87" s="57"/>
      <c r="AA87" s="57"/>
      <c r="AB87" s="57"/>
      <c r="AC87" s="57"/>
      <c r="AD87" s="57"/>
      <c r="AE87" s="57"/>
      <c r="AF87" s="57"/>
      <c r="AG87" s="57"/>
      <c r="AH87" s="57"/>
      <c r="AI87" s="57"/>
      <c r="AJ87" s="57"/>
      <c r="AK87" s="57"/>
      <c r="AL87" s="57"/>
      <c r="AM87" s="57"/>
      <c r="AN87" s="57"/>
      <c r="AO87" s="57"/>
      <c r="AP87" s="57"/>
      <c r="AQ87" s="57"/>
      <c r="AR87" s="57"/>
      <c r="AS87" s="57"/>
    </row>
    <row r="88" spans="1:45">
      <c r="A88" s="57">
        <v>5</v>
      </c>
      <c r="B88" s="57">
        <v>2034</v>
      </c>
      <c r="C88" s="62">
        <f>SUM('4. Metinis CAPEX'!N$9:N$13)</f>
        <v>0</v>
      </c>
      <c r="D88" s="62" cm="1">
        <f t="array" ref="D88">SUMPRODUCT('4. Metinis CAPEX'!N$9:N$13,IFERROR('2. Investicijos'!$N$5:$N$9/'2. Investicijos'!$H$5:$H$9,0))</f>
        <v>0</v>
      </c>
      <c r="E88" s="62" cm="1">
        <f t="array" ref="E88">SUMPRODUCT('4. Metinis CAPEX'!N$9:N$13,IFERROR(('2. Investicijos'!$I$5:$I$9+'2. Investicijos'!$J$5:$J$9+'2. Investicijos'!$K$5:$K$9+'2. Investicijos'!$L$5:$L$9)/'2. Investicijos'!$H$5:$H$9,0))</f>
        <v>0</v>
      </c>
      <c r="F88" s="62" cm="1">
        <f t="array" ref="F88">SUM('2. Investicijos'!$H$5:$H$9*'7. Pasirinktinis scenarijus'!$C$6)</f>
        <v>0</v>
      </c>
      <c r="G88" s="62" cm="1">
        <f t="array" ref="G88">IF(AND(2034&gt;=2026,2034&lt;2026+'7. Pasirinktinis scenarijus'!$C$5),SUM('2. Investicijos'!$H$5:$H$9*'7. Pasirinktinis scenarijus'!$C$6)/'7. Pasirinktinis scenarijus'!$C$5,0)</f>
        <v>0</v>
      </c>
      <c r="H88" s="62">
        <f t="shared" si="47"/>
        <v>0</v>
      </c>
      <c r="I88" s="62">
        <f>SUM(N$5:N$9)</f>
        <v>0</v>
      </c>
      <c r="J88" s="62" t="e" cm="1">
        <f t="array" ref="J88">K88+L88+MAX(0,-R87)*IFERROR(SUMPRODUCT(IF('2. Investicijos'!$N$5:$N$9&gt;('2. Investicijos'!$H$5:$H$9*'7. Pasirinktinis scenarijus'!$C$6),'2. Investicijos'!$N$5:$N$9-('2. Investicijos'!$H$5:$H$9*'7. Pasirinktinis scenarijus'!$C$6),0),'2. Investicijos'!$O$5:$O$9/100)/SUM(IF('2. Investicijos'!$N$5:$N$9&gt;('2. Investicijos'!$H$5:$H$9*'7. Pasirinktinis scenarijus'!$C$6),'2. Investicijos'!$N$5:$N$9-('2. Investicijos'!$H$5:$H$9*'7. Pasirinktinis scenarijus'!$C$6),0)),0)</f>
        <v>#VALUE!</v>
      </c>
      <c r="K88" s="62">
        <f>SUM(AH$5:AH$9)</f>
        <v>0</v>
      </c>
      <c r="L88" s="62">
        <f>SUM(X$5:X$9)</f>
        <v>0</v>
      </c>
      <c r="M88" s="62">
        <f>SUM(AR$5:AR$9)</f>
        <v>0</v>
      </c>
      <c r="N88" s="62">
        <f>'3. Finansinės prielaidos'!K30+M88</f>
        <v>0</v>
      </c>
      <c r="O88" s="62">
        <f>'3. Finansinės prielaidos'!K31</f>
        <v>0</v>
      </c>
      <c r="P88" s="62">
        <f>'3. Finansinės prielaidos'!K32</f>
        <v>0</v>
      </c>
      <c r="Q88" s="62" t="e">
        <f t="shared" si="48"/>
        <v>#VALUE!</v>
      </c>
      <c r="R88" s="62" t="e">
        <f>R87+('3. Finansinės prielaidos'!K31-'3. Finansinės prielaidos'!J31)+Q88</f>
        <v>#VALUE!</v>
      </c>
      <c r="S88" s="62" t="e" cm="1">
        <f t="array" ref="S88">SUMPRODUCT(--(2034&gt;'2. Investicijos'!$F$5:$F$9),--(2034&lt;='2. Investicijos'!$F$5:$F$9+'2. Investicijos'!$G$5:$G$9),IFERROR(('2. Investicijos'!$M$5:$M$9+IF('2. Investicijos'!$N$5:$N$9&gt;('2. Investicijos'!$H$5:$H$9*'7. Pasirinktinis scenarijus'!$C$6),'2. Investicijos'!$N$5:$N$9-('2. Investicijos'!$H$5:$H$9*'7. Pasirinktinis scenarijus'!$C$6),0)+('2. Investicijos'!$H$5:$H$9*'7. Pasirinktinis scenarijus'!$C$6))/'2. Investicijos'!$G$5:$G$9,0))+SUMPRODUCT(--(2034&gt;'2. Investicijos'!$F$5:$F$9),--(2034&lt;='2. Investicijos'!$F$5:$F$9+'2. Investicijos'!$G$5:$G$9),IFERROR(('2. Investicijos'!$M$5:$M$9+IF('2. Investicijos'!$N$5:$N$9&gt;('2. Investicijos'!$H$5:$H$9*'7. Pasirinktinis scenarijus'!$C$6),'2. Investicijos'!$N$5:$N$9-('2. Investicijos'!$H$5:$H$9*'7. Pasirinktinis scenarijus'!$C$6),0))*(1-((2034-'2. Investicijos'!$F$5:$F$9)-1)/'2. Investicijos'!$G$5:$G$9),0)*'5. 0% scenarijus'!$C$5)</f>
        <v>#VALUE!</v>
      </c>
      <c r="T88" s="62" t="e">
        <f>'3. Finansinės prielaidos'!K29+S88+G88</f>
        <v>#VALUE!</v>
      </c>
      <c r="U88" s="62" t="e">
        <f t="shared" si="49"/>
        <v>#VALUE!</v>
      </c>
      <c r="V88" s="72" t="e">
        <f t="shared" si="50"/>
        <v>#VALUE!</v>
      </c>
      <c r="W88" s="72" t="e">
        <f t="shared" si="51"/>
        <v>#VALUE!</v>
      </c>
      <c r="X88" s="57" t="e">
        <f t="shared" si="52"/>
        <v>#VALUE!</v>
      </c>
      <c r="Y88" s="57" t="e">
        <f t="shared" si="53"/>
        <v>#VALUE!</v>
      </c>
      <c r="Z88" s="57"/>
      <c r="AA88" s="57"/>
      <c r="AB88" s="57"/>
      <c r="AC88" s="57"/>
      <c r="AD88" s="57"/>
      <c r="AE88" s="57"/>
      <c r="AF88" s="57"/>
      <c r="AG88" s="57"/>
      <c r="AH88" s="57"/>
      <c r="AI88" s="57"/>
      <c r="AJ88" s="57"/>
      <c r="AK88" s="57"/>
      <c r="AL88" s="57"/>
      <c r="AM88" s="57"/>
      <c r="AN88" s="57"/>
      <c r="AO88" s="57"/>
      <c r="AP88" s="57"/>
      <c r="AQ88" s="57"/>
      <c r="AR88" s="57"/>
      <c r="AS88" s="57"/>
    </row>
    <row r="89" spans="1:45">
      <c r="A89" s="57">
        <v>5</v>
      </c>
      <c r="B89" s="57">
        <v>2035</v>
      </c>
      <c r="C89" s="62">
        <f>SUM('4. Metinis CAPEX'!O$9:O$13)</f>
        <v>0</v>
      </c>
      <c r="D89" s="62" cm="1">
        <f t="array" ref="D89">SUMPRODUCT('4. Metinis CAPEX'!O$9:O$13,IFERROR('2. Investicijos'!$N$5:$N$9/'2. Investicijos'!$H$5:$H$9,0))</f>
        <v>0</v>
      </c>
      <c r="E89" s="62" cm="1">
        <f t="array" ref="E89">SUMPRODUCT('4. Metinis CAPEX'!O$9:O$13,IFERROR(('2. Investicijos'!$I$5:$I$9+'2. Investicijos'!$J$5:$J$9+'2. Investicijos'!$K$5:$K$9+'2. Investicijos'!$L$5:$L$9)/'2. Investicijos'!$H$5:$H$9,0))</f>
        <v>0</v>
      </c>
      <c r="F89" s="62" cm="1">
        <f t="array" ref="F89">SUM('2. Investicijos'!$H$5:$H$9*'7. Pasirinktinis scenarijus'!$C$6)</f>
        <v>0</v>
      </c>
      <c r="G89" s="62" cm="1">
        <f t="array" ref="G89">IF(AND(2035&gt;=2026,2035&lt;2026+'7. Pasirinktinis scenarijus'!$C$5),SUM('2. Investicijos'!$H$5:$H$9*'7. Pasirinktinis scenarijus'!$C$6)/'7. Pasirinktinis scenarijus'!$C$5,0)</f>
        <v>0</v>
      </c>
      <c r="H89" s="62">
        <f t="shared" si="47"/>
        <v>0</v>
      </c>
      <c r="I89" s="62">
        <f>SUM(O$5:O$9)</f>
        <v>0</v>
      </c>
      <c r="J89" s="62" t="e" cm="1">
        <f t="array" ref="J89">K89+L89+MAX(0,-R88)*IFERROR(SUMPRODUCT(IF('2. Investicijos'!$N$5:$N$9&gt;('2. Investicijos'!$H$5:$H$9*'7. Pasirinktinis scenarijus'!$C$6),'2. Investicijos'!$N$5:$N$9-('2. Investicijos'!$H$5:$H$9*'7. Pasirinktinis scenarijus'!$C$6),0),'2. Investicijos'!$O$5:$O$9/100)/SUM(IF('2. Investicijos'!$N$5:$N$9&gt;('2. Investicijos'!$H$5:$H$9*'7. Pasirinktinis scenarijus'!$C$6),'2. Investicijos'!$N$5:$N$9-('2. Investicijos'!$H$5:$H$9*'7. Pasirinktinis scenarijus'!$C$6),0)),0)</f>
        <v>#VALUE!</v>
      </c>
      <c r="K89" s="62">
        <f>SUM(AI$5:AI$9)</f>
        <v>0</v>
      </c>
      <c r="L89" s="62">
        <f>SUM(Y$5:Y$9)</f>
        <v>0</v>
      </c>
      <c r="M89" s="62">
        <f>SUM(AS$5:AS$9)</f>
        <v>0</v>
      </c>
      <c r="N89" s="62">
        <f>'3. Finansinės prielaidos'!L30+M89</f>
        <v>0</v>
      </c>
      <c r="O89" s="62">
        <f>'3. Finansinės prielaidos'!L31</f>
        <v>0</v>
      </c>
      <c r="P89" s="62">
        <f>'3. Finansinės prielaidos'!L32</f>
        <v>0</v>
      </c>
      <c r="Q89" s="62" t="e">
        <f t="shared" si="48"/>
        <v>#VALUE!</v>
      </c>
      <c r="R89" s="62" t="e">
        <f>R88+('3. Finansinės prielaidos'!L31-'3. Finansinės prielaidos'!K31)+Q89</f>
        <v>#VALUE!</v>
      </c>
      <c r="S89" s="62" t="e" cm="1">
        <f t="array" ref="S89">SUMPRODUCT(--(2035&gt;'2. Investicijos'!$F$5:$F$9),--(2035&lt;='2. Investicijos'!$F$5:$F$9+'2. Investicijos'!$G$5:$G$9),IFERROR(('2. Investicijos'!$M$5:$M$9+IF('2. Investicijos'!$N$5:$N$9&gt;('2. Investicijos'!$H$5:$H$9*'7. Pasirinktinis scenarijus'!$C$6),'2. Investicijos'!$N$5:$N$9-('2. Investicijos'!$H$5:$H$9*'7. Pasirinktinis scenarijus'!$C$6),0)+('2. Investicijos'!$H$5:$H$9*'7. Pasirinktinis scenarijus'!$C$6))/'2. Investicijos'!$G$5:$G$9,0))+SUMPRODUCT(--(2035&gt;'2. Investicijos'!$F$5:$F$9),--(2035&lt;='2. Investicijos'!$F$5:$F$9+'2. Investicijos'!$G$5:$G$9),IFERROR(('2. Investicijos'!$M$5:$M$9+IF('2. Investicijos'!$N$5:$N$9&gt;('2. Investicijos'!$H$5:$H$9*'7. Pasirinktinis scenarijus'!$C$6),'2. Investicijos'!$N$5:$N$9-('2. Investicijos'!$H$5:$H$9*'7. Pasirinktinis scenarijus'!$C$6),0))*(1-((2035-'2. Investicijos'!$F$5:$F$9)-1)/'2. Investicijos'!$G$5:$G$9),0)*'5. 0% scenarijus'!$C$5)</f>
        <v>#VALUE!</v>
      </c>
      <c r="T89" s="62" t="e">
        <f>'3. Finansinės prielaidos'!L29+S89+G89</f>
        <v>#VALUE!</v>
      </c>
      <c r="U89" s="62" t="e">
        <f t="shared" si="49"/>
        <v>#VALUE!</v>
      </c>
      <c r="V89" s="72" t="e">
        <f t="shared" si="50"/>
        <v>#VALUE!</v>
      </c>
      <c r="W89" s="72" t="e">
        <f t="shared" si="51"/>
        <v>#VALUE!</v>
      </c>
      <c r="X89" s="57" t="e">
        <f t="shared" si="52"/>
        <v>#VALUE!</v>
      </c>
      <c r="Y89" s="57" t="e">
        <f t="shared" si="53"/>
        <v>#VALUE!</v>
      </c>
      <c r="Z89" s="57"/>
      <c r="AA89" s="57"/>
      <c r="AB89" s="57"/>
      <c r="AC89" s="57"/>
      <c r="AD89" s="57"/>
      <c r="AE89" s="57"/>
      <c r="AF89" s="57"/>
      <c r="AG89" s="57"/>
      <c r="AH89" s="57"/>
      <c r="AI89" s="57"/>
      <c r="AJ89" s="57"/>
      <c r="AK89" s="57"/>
      <c r="AL89" s="57"/>
      <c r="AM89" s="57"/>
      <c r="AN89" s="57"/>
      <c r="AO89" s="57"/>
      <c r="AP89" s="57"/>
      <c r="AQ89" s="57"/>
      <c r="AR89" s="57"/>
      <c r="AS89" s="57"/>
    </row>
    <row r="90" spans="1:45">
      <c r="A90" s="57">
        <v>6</v>
      </c>
      <c r="B90" s="57">
        <v>2026</v>
      </c>
      <c r="C90" s="62">
        <f>SUM('4. Metinis CAPEX'!F$9:F$14)</f>
        <v>0</v>
      </c>
      <c r="D90" s="62" cm="1">
        <f t="array" ref="D90">SUMPRODUCT('4. Metinis CAPEX'!F$9:F$14,IFERROR('2. Investicijos'!$N$5:$N$10/'2. Investicijos'!$H$5:$H$10,0))</f>
        <v>0</v>
      </c>
      <c r="E90" s="62" cm="1">
        <f t="array" ref="E90">SUMPRODUCT('4. Metinis CAPEX'!F$9:F$14,IFERROR(('2. Investicijos'!$I$5:$I$10+'2. Investicijos'!$J$5:$J$10+'2. Investicijos'!$K$5:$K$10+'2. Investicijos'!$L$5:$L$10)/'2. Investicijos'!$H$5:$H$10,0))</f>
        <v>0</v>
      </c>
      <c r="F90" s="62" cm="1">
        <f t="array" ref="F90">SUM('2. Investicijos'!$H$5:$H$10*'7. Pasirinktinis scenarijus'!$C$6)</f>
        <v>0</v>
      </c>
      <c r="G90" s="62" cm="1">
        <f t="array" ref="G90">IF(AND(2026&gt;=2026,2026&lt;2026+'7. Pasirinktinis scenarijus'!$C$5),SUM('2. Investicijos'!$H$5:$H$10*'7. Pasirinktinis scenarijus'!$C$6)/'7. Pasirinktinis scenarijus'!$C$5,0)</f>
        <v>0</v>
      </c>
      <c r="H90" s="62">
        <f t="shared" si="47"/>
        <v>0</v>
      </c>
      <c r="I90" s="62">
        <f>SUM(F$5:F$10)</f>
        <v>0</v>
      </c>
      <c r="J90" s="62">
        <f>0</f>
        <v>0</v>
      </c>
      <c r="K90" s="62">
        <f>SUM(Z$5:Z$10)</f>
        <v>0</v>
      </c>
      <c r="L90" s="62">
        <f>SUM(P$5:P$10)</f>
        <v>0</v>
      </c>
      <c r="M90" s="62">
        <f>SUM(AJ$5:AJ$10)</f>
        <v>0</v>
      </c>
      <c r="N90" s="62">
        <f>'3. Finansinės prielaidos'!C30+M90</f>
        <v>0</v>
      </c>
      <c r="O90" s="62">
        <f>'3. Finansinės prielaidos'!C31</f>
        <v>0</v>
      </c>
      <c r="P90" s="62">
        <f>'3. Finansinės prielaidos'!C32</f>
        <v>0</v>
      </c>
      <c r="Q90" s="62" t="e">
        <f t="shared" si="48"/>
        <v>#VALUE!</v>
      </c>
      <c r="R90" s="62" t="e">
        <f>O90+Q90</f>
        <v>#VALUE!</v>
      </c>
      <c r="S90" s="62" t="e" cm="1">
        <f t="array" ref="S90">SUMPRODUCT(--(2026&gt;'2. Investicijos'!$F$5:$F$10),--(2026&lt;='2. Investicijos'!$F$5:$F$10+'2. Investicijos'!$G$5:$G$10),IFERROR(('2. Investicijos'!$M$5:$M$10+IF('2. Investicijos'!$N$5:$N$10&gt;('2. Investicijos'!$H$5:$H$10*'7. Pasirinktinis scenarijus'!$C$6),'2. Investicijos'!$N$5:$N$10-('2. Investicijos'!$H$5:$H$10*'7. Pasirinktinis scenarijus'!$C$6),0)+('2. Investicijos'!$H$5:$H$10*'7. Pasirinktinis scenarijus'!$C$6))/'2. Investicijos'!$G$5:$G$10,0))+SUMPRODUCT(--(2026&gt;'2. Investicijos'!$F$5:$F$10),--(2026&lt;='2. Investicijos'!$F$5:$F$10+'2. Investicijos'!$G$5:$G$10),IFERROR(('2. Investicijos'!$M$5:$M$10+IF('2. Investicijos'!$N$5:$N$10&gt;('2. Investicijos'!$H$5:$H$10*'7. Pasirinktinis scenarijus'!$C$6),'2. Investicijos'!$N$5:$N$10-('2. Investicijos'!$H$5:$H$10*'7. Pasirinktinis scenarijus'!$C$6),0))*(1-((2026-'2. Investicijos'!$F$5:$F$10)-1)/'2. Investicijos'!$G$5:$G$10),0)*'5. 0% scenarijus'!$C$5)</f>
        <v>#VALUE!</v>
      </c>
      <c r="T90" s="62" t="e">
        <f>'3. Finansinės prielaidos'!C29+S90+G90</f>
        <v>#VALUE!</v>
      </c>
      <c r="U90" s="62" t="e">
        <f t="shared" si="49"/>
        <v>#VALUE!</v>
      </c>
      <c r="V90" s="72" t="e">
        <f t="shared" si="50"/>
        <v>#VALUE!</v>
      </c>
      <c r="W90" s="72" t="e">
        <f t="shared" si="51"/>
        <v>#VALUE!</v>
      </c>
      <c r="X90" s="57" t="e">
        <f t="shared" si="52"/>
        <v>#VALUE!</v>
      </c>
      <c r="Y90" s="57" t="e">
        <f t="shared" si="53"/>
        <v>#VALUE!</v>
      </c>
      <c r="Z90" s="57"/>
      <c r="AA90" s="57"/>
      <c r="AB90" s="57"/>
      <c r="AC90" s="57"/>
      <c r="AD90" s="57"/>
      <c r="AE90" s="57"/>
      <c r="AF90" s="57"/>
      <c r="AG90" s="57"/>
      <c r="AH90" s="57"/>
      <c r="AI90" s="57"/>
      <c r="AJ90" s="57"/>
      <c r="AK90" s="57"/>
      <c r="AL90" s="57"/>
      <c r="AM90" s="57"/>
      <c r="AN90" s="57"/>
      <c r="AO90" s="57"/>
      <c r="AP90" s="57"/>
      <c r="AQ90" s="57"/>
      <c r="AR90" s="57"/>
      <c r="AS90" s="57"/>
    </row>
    <row r="91" spans="1:45">
      <c r="A91" s="57">
        <v>6</v>
      </c>
      <c r="B91" s="57">
        <v>2027</v>
      </c>
      <c r="C91" s="62">
        <f>SUM('4. Metinis CAPEX'!G$9:G$14)</f>
        <v>0</v>
      </c>
      <c r="D91" s="62" cm="1">
        <f t="array" ref="D91">SUMPRODUCT('4. Metinis CAPEX'!G$9:G$14,IFERROR('2. Investicijos'!$N$5:$N$10/'2. Investicijos'!$H$5:$H$10,0))</f>
        <v>0</v>
      </c>
      <c r="E91" s="62" cm="1">
        <f t="array" ref="E91">SUMPRODUCT('4. Metinis CAPEX'!G$9:G$14,IFERROR(('2. Investicijos'!$I$5:$I$10+'2. Investicijos'!$J$5:$J$10+'2. Investicijos'!$K$5:$K$10+'2. Investicijos'!$L$5:$L$10)/'2. Investicijos'!$H$5:$H$10,0))</f>
        <v>0</v>
      </c>
      <c r="F91" s="62" cm="1">
        <f t="array" ref="F91">SUM('2. Investicijos'!$H$5:$H$10*'7. Pasirinktinis scenarijus'!$C$6)</f>
        <v>0</v>
      </c>
      <c r="G91" s="62" cm="1">
        <f t="array" ref="G91">IF(AND(2027&gt;=2026,2027&lt;2026+'7. Pasirinktinis scenarijus'!$C$5),SUM('2. Investicijos'!$H$5:$H$10*'7. Pasirinktinis scenarijus'!$C$6)/'7. Pasirinktinis scenarijus'!$C$5,0)</f>
        <v>0</v>
      </c>
      <c r="H91" s="62">
        <f t="shared" si="47"/>
        <v>0</v>
      </c>
      <c r="I91" s="62">
        <f>SUM(G$5:G$10)</f>
        <v>0</v>
      </c>
      <c r="J91" s="62" t="e" cm="1">
        <f t="array" ref="J91">K91+L91+MAX(0,-R90)*IFERROR(SUMPRODUCT(IF('2. Investicijos'!$N$5:$N$10&gt;('2. Investicijos'!$H$5:$H$10*'7. Pasirinktinis scenarijus'!$C$6),'2. Investicijos'!$N$5:$N$10-('2. Investicijos'!$H$5:$H$10*'7. Pasirinktinis scenarijus'!$C$6),0),'2. Investicijos'!$O$5:$O$10/100)/SUM(IF('2. Investicijos'!$N$5:$N$10&gt;('2. Investicijos'!$H$5:$H$10*'7. Pasirinktinis scenarijus'!$C$6),'2. Investicijos'!$N$5:$N$10-('2. Investicijos'!$H$5:$H$10*'7. Pasirinktinis scenarijus'!$C$6),0)),0)</f>
        <v>#VALUE!</v>
      </c>
      <c r="K91" s="62">
        <f>SUM(AA$5:AA$10)</f>
        <v>0</v>
      </c>
      <c r="L91" s="62">
        <f>SUM(Q$5:Q$10)</f>
        <v>0</v>
      </c>
      <c r="M91" s="62">
        <f>SUM(AK$5:AK$10)</f>
        <v>0</v>
      </c>
      <c r="N91" s="62">
        <f>'3. Finansinės prielaidos'!D30+M91</f>
        <v>0</v>
      </c>
      <c r="O91" s="62">
        <f>'3. Finansinės prielaidos'!D31</f>
        <v>0</v>
      </c>
      <c r="P91" s="62">
        <f>'3. Finansinės prielaidos'!D32</f>
        <v>0</v>
      </c>
      <c r="Q91" s="62" t="e">
        <f t="shared" si="48"/>
        <v>#VALUE!</v>
      </c>
      <c r="R91" s="62" t="e">
        <f>R90+('3. Finansinės prielaidos'!D31-'3. Finansinės prielaidos'!C31)+Q91</f>
        <v>#VALUE!</v>
      </c>
      <c r="S91" s="62" t="e" cm="1">
        <f t="array" ref="S91">SUMPRODUCT(--(2027&gt;'2. Investicijos'!$F$5:$F$10),--(2027&lt;='2. Investicijos'!$F$5:$F$10+'2. Investicijos'!$G$5:$G$10),IFERROR(('2. Investicijos'!$M$5:$M$10+IF('2. Investicijos'!$N$5:$N$10&gt;('2. Investicijos'!$H$5:$H$10*'7. Pasirinktinis scenarijus'!$C$6),'2. Investicijos'!$N$5:$N$10-('2. Investicijos'!$H$5:$H$10*'7. Pasirinktinis scenarijus'!$C$6),0)+('2. Investicijos'!$H$5:$H$10*'7. Pasirinktinis scenarijus'!$C$6))/'2. Investicijos'!$G$5:$G$10,0))+SUMPRODUCT(--(2027&gt;'2. Investicijos'!$F$5:$F$10),--(2027&lt;='2. Investicijos'!$F$5:$F$10+'2. Investicijos'!$G$5:$G$10),IFERROR(('2. Investicijos'!$M$5:$M$10+IF('2. Investicijos'!$N$5:$N$10&gt;('2. Investicijos'!$H$5:$H$10*'7. Pasirinktinis scenarijus'!$C$6),'2. Investicijos'!$N$5:$N$10-('2. Investicijos'!$H$5:$H$10*'7. Pasirinktinis scenarijus'!$C$6),0))*(1-((2027-'2. Investicijos'!$F$5:$F$10)-1)/'2. Investicijos'!$G$5:$G$10),0)*'5. 0% scenarijus'!$C$5)</f>
        <v>#VALUE!</v>
      </c>
      <c r="T91" s="62" t="e">
        <f>'3. Finansinės prielaidos'!D29+S91+G91</f>
        <v>#VALUE!</v>
      </c>
      <c r="U91" s="62" t="e">
        <f t="shared" si="49"/>
        <v>#VALUE!</v>
      </c>
      <c r="V91" s="72" t="e">
        <f t="shared" si="50"/>
        <v>#VALUE!</v>
      </c>
      <c r="W91" s="72" t="e">
        <f t="shared" si="51"/>
        <v>#VALUE!</v>
      </c>
      <c r="X91" s="57" t="e">
        <f t="shared" si="52"/>
        <v>#VALUE!</v>
      </c>
      <c r="Y91" s="57" t="e">
        <f t="shared" si="53"/>
        <v>#VALUE!</v>
      </c>
      <c r="Z91" s="57"/>
      <c r="AA91" s="57"/>
      <c r="AB91" s="57"/>
      <c r="AC91" s="57"/>
      <c r="AD91" s="57"/>
      <c r="AE91" s="57"/>
      <c r="AF91" s="57"/>
      <c r="AG91" s="57"/>
      <c r="AH91" s="57"/>
      <c r="AI91" s="57"/>
      <c r="AJ91" s="57"/>
      <c r="AK91" s="57"/>
      <c r="AL91" s="57"/>
      <c r="AM91" s="57"/>
      <c r="AN91" s="57"/>
      <c r="AO91" s="57"/>
      <c r="AP91" s="57"/>
      <c r="AQ91" s="57"/>
      <c r="AR91" s="57"/>
      <c r="AS91" s="57"/>
    </row>
    <row r="92" spans="1:45">
      <c r="A92" s="57">
        <v>6</v>
      </c>
      <c r="B92" s="57">
        <v>2028</v>
      </c>
      <c r="C92" s="62">
        <f>SUM('4. Metinis CAPEX'!H$9:H$14)</f>
        <v>0</v>
      </c>
      <c r="D92" s="62" cm="1">
        <f t="array" ref="D92">SUMPRODUCT('4. Metinis CAPEX'!H$9:H$14,IFERROR('2. Investicijos'!$N$5:$N$10/'2. Investicijos'!$H$5:$H$10,0))</f>
        <v>0</v>
      </c>
      <c r="E92" s="62" cm="1">
        <f t="array" ref="E92">SUMPRODUCT('4. Metinis CAPEX'!H$9:H$14,IFERROR(('2. Investicijos'!$I$5:$I$10+'2. Investicijos'!$J$5:$J$10+'2. Investicijos'!$K$5:$K$10+'2. Investicijos'!$L$5:$L$10)/'2. Investicijos'!$H$5:$H$10,0))</f>
        <v>0</v>
      </c>
      <c r="F92" s="62" cm="1">
        <f t="array" ref="F92">SUM('2. Investicijos'!$H$5:$H$10*'7. Pasirinktinis scenarijus'!$C$6)</f>
        <v>0</v>
      </c>
      <c r="G92" s="62" cm="1">
        <f t="array" ref="G92">IF(AND(2028&gt;=2026,2028&lt;2026+'7. Pasirinktinis scenarijus'!$C$5),SUM('2. Investicijos'!$H$5:$H$10*'7. Pasirinktinis scenarijus'!$C$6)/'7. Pasirinktinis scenarijus'!$C$5,0)</f>
        <v>0</v>
      </c>
      <c r="H92" s="62">
        <f t="shared" si="47"/>
        <v>0</v>
      </c>
      <c r="I92" s="62">
        <f>SUM(H$5:H$10)</f>
        <v>0</v>
      </c>
      <c r="J92" s="62" t="e" cm="1">
        <f t="array" ref="J92">K92+L92+MAX(0,-R91)*IFERROR(SUMPRODUCT(IF('2. Investicijos'!$N$5:$N$10&gt;('2. Investicijos'!$H$5:$H$10*'7. Pasirinktinis scenarijus'!$C$6),'2. Investicijos'!$N$5:$N$10-('2. Investicijos'!$H$5:$H$10*'7. Pasirinktinis scenarijus'!$C$6),0),'2. Investicijos'!$O$5:$O$10/100)/SUM(IF('2. Investicijos'!$N$5:$N$10&gt;('2. Investicijos'!$H$5:$H$10*'7. Pasirinktinis scenarijus'!$C$6),'2. Investicijos'!$N$5:$N$10-('2. Investicijos'!$H$5:$H$10*'7. Pasirinktinis scenarijus'!$C$6),0)),0)</f>
        <v>#VALUE!</v>
      </c>
      <c r="K92" s="62">
        <f>SUM(AB$5:AB$10)</f>
        <v>0</v>
      </c>
      <c r="L92" s="62">
        <f>SUM(R$5:R$10)</f>
        <v>0</v>
      </c>
      <c r="M92" s="62">
        <f>SUM(AL$5:AL$10)</f>
        <v>0</v>
      </c>
      <c r="N92" s="62">
        <f>'3. Finansinės prielaidos'!E30+M92</f>
        <v>0</v>
      </c>
      <c r="O92" s="62">
        <f>'3. Finansinės prielaidos'!E31</f>
        <v>0</v>
      </c>
      <c r="P92" s="62">
        <f>'3. Finansinės prielaidos'!E32</f>
        <v>0</v>
      </c>
      <c r="Q92" s="62" t="e">
        <f t="shared" si="48"/>
        <v>#VALUE!</v>
      </c>
      <c r="R92" s="62" t="e">
        <f>R91+('3. Finansinės prielaidos'!E31-'3. Finansinės prielaidos'!D31)+Q92</f>
        <v>#VALUE!</v>
      </c>
      <c r="S92" s="62" t="e" cm="1">
        <f t="array" ref="S92">SUMPRODUCT(--(2028&gt;'2. Investicijos'!$F$5:$F$10),--(2028&lt;='2. Investicijos'!$F$5:$F$10+'2. Investicijos'!$G$5:$G$10),IFERROR(('2. Investicijos'!$M$5:$M$10+IF('2. Investicijos'!$N$5:$N$10&gt;('2. Investicijos'!$H$5:$H$10*'7. Pasirinktinis scenarijus'!$C$6),'2. Investicijos'!$N$5:$N$10-('2. Investicijos'!$H$5:$H$10*'7. Pasirinktinis scenarijus'!$C$6),0)+('2. Investicijos'!$H$5:$H$10*'7. Pasirinktinis scenarijus'!$C$6))/'2. Investicijos'!$G$5:$G$10,0))+SUMPRODUCT(--(2028&gt;'2. Investicijos'!$F$5:$F$10),--(2028&lt;='2. Investicijos'!$F$5:$F$10+'2. Investicijos'!$G$5:$G$10),IFERROR(('2. Investicijos'!$M$5:$M$10+IF('2. Investicijos'!$N$5:$N$10&gt;('2. Investicijos'!$H$5:$H$10*'7. Pasirinktinis scenarijus'!$C$6),'2. Investicijos'!$N$5:$N$10-('2. Investicijos'!$H$5:$H$10*'7. Pasirinktinis scenarijus'!$C$6),0))*(1-((2028-'2. Investicijos'!$F$5:$F$10)-1)/'2. Investicijos'!$G$5:$G$10),0)*'5. 0% scenarijus'!$C$5)</f>
        <v>#VALUE!</v>
      </c>
      <c r="T92" s="62" t="e">
        <f>'3. Finansinės prielaidos'!E29+S92+G92</f>
        <v>#VALUE!</v>
      </c>
      <c r="U92" s="62" t="e">
        <f t="shared" si="49"/>
        <v>#VALUE!</v>
      </c>
      <c r="V92" s="72" t="e">
        <f t="shared" si="50"/>
        <v>#VALUE!</v>
      </c>
      <c r="W92" s="72" t="e">
        <f t="shared" si="51"/>
        <v>#VALUE!</v>
      </c>
      <c r="X92" s="57" t="e">
        <f t="shared" si="52"/>
        <v>#VALUE!</v>
      </c>
      <c r="Y92" s="57" t="e">
        <f t="shared" si="53"/>
        <v>#VALUE!</v>
      </c>
      <c r="Z92" s="57"/>
      <c r="AA92" s="57"/>
      <c r="AB92" s="57"/>
      <c r="AC92" s="57"/>
      <c r="AD92" s="57"/>
      <c r="AE92" s="57"/>
      <c r="AF92" s="57"/>
      <c r="AG92" s="57"/>
      <c r="AH92" s="57"/>
      <c r="AI92" s="57"/>
      <c r="AJ92" s="57"/>
      <c r="AK92" s="57"/>
      <c r="AL92" s="57"/>
      <c r="AM92" s="57"/>
      <c r="AN92" s="57"/>
      <c r="AO92" s="57"/>
      <c r="AP92" s="57"/>
      <c r="AQ92" s="57"/>
      <c r="AR92" s="57"/>
      <c r="AS92" s="57"/>
    </row>
    <row r="93" spans="1:45">
      <c r="A93" s="57">
        <v>6</v>
      </c>
      <c r="B93" s="57">
        <v>2029</v>
      </c>
      <c r="C93" s="62">
        <f>SUM('4. Metinis CAPEX'!I$9:I$14)</f>
        <v>0</v>
      </c>
      <c r="D93" s="62" cm="1">
        <f t="array" ref="D93">SUMPRODUCT('4. Metinis CAPEX'!I$9:I$14,IFERROR('2. Investicijos'!$N$5:$N$10/'2. Investicijos'!$H$5:$H$10,0))</f>
        <v>0</v>
      </c>
      <c r="E93" s="62" cm="1">
        <f t="array" ref="E93">SUMPRODUCT('4. Metinis CAPEX'!I$9:I$14,IFERROR(('2. Investicijos'!$I$5:$I$10+'2. Investicijos'!$J$5:$J$10+'2. Investicijos'!$K$5:$K$10+'2. Investicijos'!$L$5:$L$10)/'2. Investicijos'!$H$5:$H$10,0))</f>
        <v>0</v>
      </c>
      <c r="F93" s="62" cm="1">
        <f t="array" ref="F93">SUM('2. Investicijos'!$H$5:$H$10*'7. Pasirinktinis scenarijus'!$C$6)</f>
        <v>0</v>
      </c>
      <c r="G93" s="62" cm="1">
        <f t="array" ref="G93">IF(AND(2029&gt;=2026,2029&lt;2026+'7. Pasirinktinis scenarijus'!$C$5),SUM('2. Investicijos'!$H$5:$H$10*'7. Pasirinktinis scenarijus'!$C$6)/'7. Pasirinktinis scenarijus'!$C$5,0)</f>
        <v>0</v>
      </c>
      <c r="H93" s="62">
        <f t="shared" si="47"/>
        <v>0</v>
      </c>
      <c r="I93" s="62">
        <f>SUM(I$5:I$10)</f>
        <v>0</v>
      </c>
      <c r="J93" s="62" t="e" cm="1">
        <f t="array" ref="J93">K93+L93+MAX(0,-R92)*IFERROR(SUMPRODUCT(IF('2. Investicijos'!$N$5:$N$10&gt;('2. Investicijos'!$H$5:$H$10*'7. Pasirinktinis scenarijus'!$C$6),'2. Investicijos'!$N$5:$N$10-('2. Investicijos'!$H$5:$H$10*'7. Pasirinktinis scenarijus'!$C$6),0),'2. Investicijos'!$O$5:$O$10/100)/SUM(IF('2. Investicijos'!$N$5:$N$10&gt;('2. Investicijos'!$H$5:$H$10*'7. Pasirinktinis scenarijus'!$C$6),'2. Investicijos'!$N$5:$N$10-('2. Investicijos'!$H$5:$H$10*'7. Pasirinktinis scenarijus'!$C$6),0)),0)</f>
        <v>#VALUE!</v>
      </c>
      <c r="K93" s="62">
        <f>SUM(AC$5:AC$10)</f>
        <v>0</v>
      </c>
      <c r="L93" s="62">
        <f>SUM(S$5:S$10)</f>
        <v>0</v>
      </c>
      <c r="M93" s="62">
        <f>SUM(AM$5:AM$10)</f>
        <v>0</v>
      </c>
      <c r="N93" s="62">
        <f>'3. Finansinės prielaidos'!F30+M93</f>
        <v>0</v>
      </c>
      <c r="O93" s="62">
        <f>'3. Finansinės prielaidos'!F31</f>
        <v>0</v>
      </c>
      <c r="P93" s="62">
        <f>'3. Finansinės prielaidos'!F32</f>
        <v>0</v>
      </c>
      <c r="Q93" s="62" t="e">
        <f t="shared" si="48"/>
        <v>#VALUE!</v>
      </c>
      <c r="R93" s="62" t="e">
        <f>R92+('3. Finansinės prielaidos'!F31-'3. Finansinės prielaidos'!E31)+Q93</f>
        <v>#VALUE!</v>
      </c>
      <c r="S93" s="62" t="e" cm="1">
        <f t="array" ref="S93">SUMPRODUCT(--(2029&gt;'2. Investicijos'!$F$5:$F$10),--(2029&lt;='2. Investicijos'!$F$5:$F$10+'2. Investicijos'!$G$5:$G$10),IFERROR(('2. Investicijos'!$M$5:$M$10+IF('2. Investicijos'!$N$5:$N$10&gt;('2. Investicijos'!$H$5:$H$10*'7. Pasirinktinis scenarijus'!$C$6),'2. Investicijos'!$N$5:$N$10-('2. Investicijos'!$H$5:$H$10*'7. Pasirinktinis scenarijus'!$C$6),0)+('2. Investicijos'!$H$5:$H$10*'7. Pasirinktinis scenarijus'!$C$6))/'2. Investicijos'!$G$5:$G$10,0))+SUMPRODUCT(--(2029&gt;'2. Investicijos'!$F$5:$F$10),--(2029&lt;='2. Investicijos'!$F$5:$F$10+'2. Investicijos'!$G$5:$G$10),IFERROR(('2. Investicijos'!$M$5:$M$10+IF('2. Investicijos'!$N$5:$N$10&gt;('2. Investicijos'!$H$5:$H$10*'7. Pasirinktinis scenarijus'!$C$6),'2. Investicijos'!$N$5:$N$10-('2. Investicijos'!$H$5:$H$10*'7. Pasirinktinis scenarijus'!$C$6),0))*(1-((2029-'2. Investicijos'!$F$5:$F$10)-1)/'2. Investicijos'!$G$5:$G$10),0)*'5. 0% scenarijus'!$C$5)</f>
        <v>#VALUE!</v>
      </c>
      <c r="T93" s="62" t="e">
        <f>'3. Finansinės prielaidos'!F29+S93+G93</f>
        <v>#VALUE!</v>
      </c>
      <c r="U93" s="62" t="e">
        <f t="shared" si="49"/>
        <v>#VALUE!</v>
      </c>
      <c r="V93" s="72" t="e">
        <f t="shared" si="50"/>
        <v>#VALUE!</v>
      </c>
      <c r="W93" s="72" t="e">
        <f t="shared" si="51"/>
        <v>#VALUE!</v>
      </c>
      <c r="X93" s="57" t="e">
        <f t="shared" si="52"/>
        <v>#VALUE!</v>
      </c>
      <c r="Y93" s="57" t="e">
        <f t="shared" si="53"/>
        <v>#VALUE!</v>
      </c>
      <c r="Z93" s="57"/>
      <c r="AA93" s="57"/>
      <c r="AB93" s="57"/>
      <c r="AC93" s="57"/>
      <c r="AD93" s="57"/>
      <c r="AE93" s="57"/>
      <c r="AF93" s="57"/>
      <c r="AG93" s="57"/>
      <c r="AH93" s="57"/>
      <c r="AI93" s="57"/>
      <c r="AJ93" s="57"/>
      <c r="AK93" s="57"/>
      <c r="AL93" s="57"/>
      <c r="AM93" s="57"/>
      <c r="AN93" s="57"/>
      <c r="AO93" s="57"/>
      <c r="AP93" s="57"/>
      <c r="AQ93" s="57"/>
      <c r="AR93" s="57"/>
      <c r="AS93" s="57"/>
    </row>
    <row r="94" spans="1:45">
      <c r="A94" s="57">
        <v>6</v>
      </c>
      <c r="B94" s="57">
        <v>2030</v>
      </c>
      <c r="C94" s="62">
        <f>SUM('4. Metinis CAPEX'!J$9:J$14)</f>
        <v>0</v>
      </c>
      <c r="D94" s="62" cm="1">
        <f t="array" ref="D94">SUMPRODUCT('4. Metinis CAPEX'!J$9:J$14,IFERROR('2. Investicijos'!$N$5:$N$10/'2. Investicijos'!$H$5:$H$10,0))</f>
        <v>0</v>
      </c>
      <c r="E94" s="62" cm="1">
        <f t="array" ref="E94">SUMPRODUCT('4. Metinis CAPEX'!J$9:J$14,IFERROR(('2. Investicijos'!$I$5:$I$10+'2. Investicijos'!$J$5:$J$10+'2. Investicijos'!$K$5:$K$10+'2. Investicijos'!$L$5:$L$10)/'2. Investicijos'!$H$5:$H$10,0))</f>
        <v>0</v>
      </c>
      <c r="F94" s="62" cm="1">
        <f t="array" ref="F94">SUM('2. Investicijos'!$H$5:$H$10*'7. Pasirinktinis scenarijus'!$C$6)</f>
        <v>0</v>
      </c>
      <c r="G94" s="62" cm="1">
        <f t="array" ref="G94">IF(AND(2030&gt;=2026,2030&lt;2026+'7. Pasirinktinis scenarijus'!$C$5),SUM('2. Investicijos'!$H$5:$H$10*'7. Pasirinktinis scenarijus'!$C$6)/'7. Pasirinktinis scenarijus'!$C$5,0)</f>
        <v>0</v>
      </c>
      <c r="H94" s="62">
        <f t="shared" si="47"/>
        <v>0</v>
      </c>
      <c r="I94" s="62">
        <f>SUM(J$5:J$10)</f>
        <v>0</v>
      </c>
      <c r="J94" s="62" t="e" cm="1">
        <f t="array" ref="J94">K94+L94+MAX(0,-R93)*IFERROR(SUMPRODUCT(IF('2. Investicijos'!$N$5:$N$10&gt;('2. Investicijos'!$H$5:$H$10*'7. Pasirinktinis scenarijus'!$C$6),'2. Investicijos'!$N$5:$N$10-('2. Investicijos'!$H$5:$H$10*'7. Pasirinktinis scenarijus'!$C$6),0),'2. Investicijos'!$O$5:$O$10/100)/SUM(IF('2. Investicijos'!$N$5:$N$10&gt;('2. Investicijos'!$H$5:$H$10*'7. Pasirinktinis scenarijus'!$C$6),'2. Investicijos'!$N$5:$N$10-('2. Investicijos'!$H$5:$H$10*'7. Pasirinktinis scenarijus'!$C$6),0)),0)</f>
        <v>#VALUE!</v>
      </c>
      <c r="K94" s="62">
        <f>SUM(AD$5:AD$10)</f>
        <v>0</v>
      </c>
      <c r="L94" s="62">
        <f>SUM(T$5:T$10)</f>
        <v>0</v>
      </c>
      <c r="M94" s="62">
        <f>SUM(AN$5:AN$10)</f>
        <v>0</v>
      </c>
      <c r="N94" s="62">
        <f>'3. Finansinės prielaidos'!G30+M94</f>
        <v>0</v>
      </c>
      <c r="O94" s="62">
        <f>'3. Finansinės prielaidos'!G31</f>
        <v>0</v>
      </c>
      <c r="P94" s="62">
        <f>'3. Finansinės prielaidos'!G32</f>
        <v>0</v>
      </c>
      <c r="Q94" s="62" t="e">
        <f t="shared" si="48"/>
        <v>#VALUE!</v>
      </c>
      <c r="R94" s="62" t="e">
        <f>R93+('3. Finansinės prielaidos'!G31-'3. Finansinės prielaidos'!F31)+Q94</f>
        <v>#VALUE!</v>
      </c>
      <c r="S94" s="62" t="e" cm="1">
        <f t="array" ref="S94">SUMPRODUCT(--(2030&gt;'2. Investicijos'!$F$5:$F$10),--(2030&lt;='2. Investicijos'!$F$5:$F$10+'2. Investicijos'!$G$5:$G$10),IFERROR(('2. Investicijos'!$M$5:$M$10+IF('2. Investicijos'!$N$5:$N$10&gt;('2. Investicijos'!$H$5:$H$10*'7. Pasirinktinis scenarijus'!$C$6),'2. Investicijos'!$N$5:$N$10-('2. Investicijos'!$H$5:$H$10*'7. Pasirinktinis scenarijus'!$C$6),0)+('2. Investicijos'!$H$5:$H$10*'7. Pasirinktinis scenarijus'!$C$6))/'2. Investicijos'!$G$5:$G$10,0))+SUMPRODUCT(--(2030&gt;'2. Investicijos'!$F$5:$F$10),--(2030&lt;='2. Investicijos'!$F$5:$F$10+'2. Investicijos'!$G$5:$G$10),IFERROR(('2. Investicijos'!$M$5:$M$10+IF('2. Investicijos'!$N$5:$N$10&gt;('2. Investicijos'!$H$5:$H$10*'7. Pasirinktinis scenarijus'!$C$6),'2. Investicijos'!$N$5:$N$10-('2. Investicijos'!$H$5:$H$10*'7. Pasirinktinis scenarijus'!$C$6),0))*(1-((2030-'2. Investicijos'!$F$5:$F$10)-1)/'2. Investicijos'!$G$5:$G$10),0)*'5. 0% scenarijus'!$C$5)</f>
        <v>#VALUE!</v>
      </c>
      <c r="T94" s="62" t="e">
        <f>'3. Finansinės prielaidos'!G29+S94+G94</f>
        <v>#VALUE!</v>
      </c>
      <c r="U94" s="62" t="e">
        <f t="shared" si="49"/>
        <v>#VALUE!</v>
      </c>
      <c r="V94" s="72" t="e">
        <f t="shared" si="50"/>
        <v>#VALUE!</v>
      </c>
      <c r="W94" s="72" t="e">
        <f t="shared" si="51"/>
        <v>#VALUE!</v>
      </c>
      <c r="X94" s="57" t="e">
        <f t="shared" si="52"/>
        <v>#VALUE!</v>
      </c>
      <c r="Y94" s="57" t="e">
        <f t="shared" si="53"/>
        <v>#VALUE!</v>
      </c>
      <c r="Z94" s="57"/>
      <c r="AA94" s="57"/>
      <c r="AB94" s="57"/>
      <c r="AC94" s="57"/>
      <c r="AD94" s="57"/>
      <c r="AE94" s="57"/>
      <c r="AF94" s="57"/>
      <c r="AG94" s="57"/>
      <c r="AH94" s="57"/>
      <c r="AI94" s="57"/>
      <c r="AJ94" s="57"/>
      <c r="AK94" s="57"/>
      <c r="AL94" s="57"/>
      <c r="AM94" s="57"/>
      <c r="AN94" s="57"/>
      <c r="AO94" s="57"/>
      <c r="AP94" s="57"/>
      <c r="AQ94" s="57"/>
      <c r="AR94" s="57"/>
      <c r="AS94" s="57"/>
    </row>
    <row r="95" spans="1:45">
      <c r="A95" s="57">
        <v>6</v>
      </c>
      <c r="B95" s="57">
        <v>2031</v>
      </c>
      <c r="C95" s="62">
        <f>SUM('4. Metinis CAPEX'!K$9:K$14)</f>
        <v>0</v>
      </c>
      <c r="D95" s="62" cm="1">
        <f t="array" ref="D95">SUMPRODUCT('4. Metinis CAPEX'!K$9:K$14,IFERROR('2. Investicijos'!$N$5:$N$10/'2. Investicijos'!$H$5:$H$10,0))</f>
        <v>0</v>
      </c>
      <c r="E95" s="62" cm="1">
        <f t="array" ref="E95">SUMPRODUCT('4. Metinis CAPEX'!K$9:K$14,IFERROR(('2. Investicijos'!$I$5:$I$10+'2. Investicijos'!$J$5:$J$10+'2. Investicijos'!$K$5:$K$10+'2. Investicijos'!$L$5:$L$10)/'2. Investicijos'!$H$5:$H$10,0))</f>
        <v>0</v>
      </c>
      <c r="F95" s="62" cm="1">
        <f t="array" ref="F95">SUM('2. Investicijos'!$H$5:$H$10*'7. Pasirinktinis scenarijus'!$C$6)</f>
        <v>0</v>
      </c>
      <c r="G95" s="62" cm="1">
        <f t="array" ref="G95">IF(AND(2031&gt;=2026,2031&lt;2026+'7. Pasirinktinis scenarijus'!$C$5),SUM('2. Investicijos'!$H$5:$H$10*'7. Pasirinktinis scenarijus'!$C$6)/'7. Pasirinktinis scenarijus'!$C$5,0)</f>
        <v>0</v>
      </c>
      <c r="H95" s="62">
        <f t="shared" si="47"/>
        <v>0</v>
      </c>
      <c r="I95" s="62">
        <f>SUM(K$5:K$10)</f>
        <v>0</v>
      </c>
      <c r="J95" s="62" t="e" cm="1">
        <f t="array" ref="J95">K95+L95+MAX(0,-R94)*IFERROR(SUMPRODUCT(IF('2. Investicijos'!$N$5:$N$10&gt;('2. Investicijos'!$H$5:$H$10*'7. Pasirinktinis scenarijus'!$C$6),'2. Investicijos'!$N$5:$N$10-('2. Investicijos'!$H$5:$H$10*'7. Pasirinktinis scenarijus'!$C$6),0),'2. Investicijos'!$O$5:$O$10/100)/SUM(IF('2. Investicijos'!$N$5:$N$10&gt;('2. Investicijos'!$H$5:$H$10*'7. Pasirinktinis scenarijus'!$C$6),'2. Investicijos'!$N$5:$N$10-('2. Investicijos'!$H$5:$H$10*'7. Pasirinktinis scenarijus'!$C$6),0)),0)</f>
        <v>#VALUE!</v>
      </c>
      <c r="K95" s="62">
        <f>SUM(AE$5:AE$10)</f>
        <v>0</v>
      </c>
      <c r="L95" s="62">
        <f>SUM(U$5:U$10)</f>
        <v>0</v>
      </c>
      <c r="M95" s="62">
        <f>SUM(AO$5:AO$10)</f>
        <v>0</v>
      </c>
      <c r="N95" s="62">
        <f>'3. Finansinės prielaidos'!H30+M95</f>
        <v>0</v>
      </c>
      <c r="O95" s="62">
        <f>'3. Finansinės prielaidos'!H31</f>
        <v>0</v>
      </c>
      <c r="P95" s="62">
        <f>'3. Finansinės prielaidos'!H32</f>
        <v>0</v>
      </c>
      <c r="Q95" s="62" t="e">
        <f t="shared" si="48"/>
        <v>#VALUE!</v>
      </c>
      <c r="R95" s="62" t="e">
        <f>R94+('3. Finansinės prielaidos'!H31-'3. Finansinės prielaidos'!G31)+Q95</f>
        <v>#VALUE!</v>
      </c>
      <c r="S95" s="62" t="e" cm="1">
        <f t="array" ref="S95">SUMPRODUCT(--(2031&gt;'2. Investicijos'!$F$5:$F$10),--(2031&lt;='2. Investicijos'!$F$5:$F$10+'2. Investicijos'!$G$5:$G$10),IFERROR(('2. Investicijos'!$M$5:$M$10+IF('2. Investicijos'!$N$5:$N$10&gt;('2. Investicijos'!$H$5:$H$10*'7. Pasirinktinis scenarijus'!$C$6),'2. Investicijos'!$N$5:$N$10-('2. Investicijos'!$H$5:$H$10*'7. Pasirinktinis scenarijus'!$C$6),0)+('2. Investicijos'!$H$5:$H$10*'7. Pasirinktinis scenarijus'!$C$6))/'2. Investicijos'!$G$5:$G$10,0))+SUMPRODUCT(--(2031&gt;'2. Investicijos'!$F$5:$F$10),--(2031&lt;='2. Investicijos'!$F$5:$F$10+'2. Investicijos'!$G$5:$G$10),IFERROR(('2. Investicijos'!$M$5:$M$10+IF('2. Investicijos'!$N$5:$N$10&gt;('2. Investicijos'!$H$5:$H$10*'7. Pasirinktinis scenarijus'!$C$6),'2. Investicijos'!$N$5:$N$10-('2. Investicijos'!$H$5:$H$10*'7. Pasirinktinis scenarijus'!$C$6),0))*(1-((2031-'2. Investicijos'!$F$5:$F$10)-1)/'2. Investicijos'!$G$5:$G$10),0)*'5. 0% scenarijus'!$C$5)</f>
        <v>#VALUE!</v>
      </c>
      <c r="T95" s="62" t="e">
        <f>'3. Finansinės prielaidos'!H29+S95+G95</f>
        <v>#VALUE!</v>
      </c>
      <c r="U95" s="62" t="e">
        <f t="shared" si="49"/>
        <v>#VALUE!</v>
      </c>
      <c r="V95" s="72" t="e">
        <f t="shared" si="50"/>
        <v>#VALUE!</v>
      </c>
      <c r="W95" s="72" t="e">
        <f t="shared" si="51"/>
        <v>#VALUE!</v>
      </c>
      <c r="X95" s="57" t="e">
        <f t="shared" si="52"/>
        <v>#VALUE!</v>
      </c>
      <c r="Y95" s="57" t="e">
        <f t="shared" si="53"/>
        <v>#VALUE!</v>
      </c>
      <c r="Z95" s="57"/>
      <c r="AA95" s="57"/>
      <c r="AB95" s="57"/>
      <c r="AC95" s="57"/>
      <c r="AD95" s="57"/>
      <c r="AE95" s="57"/>
      <c r="AF95" s="57"/>
      <c r="AG95" s="57"/>
      <c r="AH95" s="57"/>
      <c r="AI95" s="57"/>
      <c r="AJ95" s="57"/>
      <c r="AK95" s="57"/>
      <c r="AL95" s="57"/>
      <c r="AM95" s="57"/>
      <c r="AN95" s="57"/>
      <c r="AO95" s="57"/>
      <c r="AP95" s="57"/>
      <c r="AQ95" s="57"/>
      <c r="AR95" s="57"/>
      <c r="AS95" s="57"/>
    </row>
    <row r="96" spans="1:45">
      <c r="A96" s="57">
        <v>6</v>
      </c>
      <c r="B96" s="57">
        <v>2032</v>
      </c>
      <c r="C96" s="62">
        <f>SUM('4. Metinis CAPEX'!L$9:L$14)</f>
        <v>0</v>
      </c>
      <c r="D96" s="62" cm="1">
        <f t="array" ref="D96">SUMPRODUCT('4. Metinis CAPEX'!L$9:L$14,IFERROR('2. Investicijos'!$N$5:$N$10/'2. Investicijos'!$H$5:$H$10,0))</f>
        <v>0</v>
      </c>
      <c r="E96" s="62" cm="1">
        <f t="array" ref="E96">SUMPRODUCT('4. Metinis CAPEX'!L$9:L$14,IFERROR(('2. Investicijos'!$I$5:$I$10+'2. Investicijos'!$J$5:$J$10+'2. Investicijos'!$K$5:$K$10+'2. Investicijos'!$L$5:$L$10)/'2. Investicijos'!$H$5:$H$10,0))</f>
        <v>0</v>
      </c>
      <c r="F96" s="62" cm="1">
        <f t="array" ref="F96">SUM('2. Investicijos'!$H$5:$H$10*'7. Pasirinktinis scenarijus'!$C$6)</f>
        <v>0</v>
      </c>
      <c r="G96" s="62" cm="1">
        <f t="array" ref="G96">IF(AND(2032&gt;=2026,2032&lt;2026+'7. Pasirinktinis scenarijus'!$C$5),SUM('2. Investicijos'!$H$5:$H$10*'7. Pasirinktinis scenarijus'!$C$6)/'7. Pasirinktinis scenarijus'!$C$5,0)</f>
        <v>0</v>
      </c>
      <c r="H96" s="62">
        <f t="shared" si="47"/>
        <v>0</v>
      </c>
      <c r="I96" s="62">
        <f>SUM(L$5:L$10)</f>
        <v>0</v>
      </c>
      <c r="J96" s="62" t="e" cm="1">
        <f t="array" ref="J96">K96+L96+MAX(0,-R95)*IFERROR(SUMPRODUCT(IF('2. Investicijos'!$N$5:$N$10&gt;('2. Investicijos'!$H$5:$H$10*'7. Pasirinktinis scenarijus'!$C$6),'2. Investicijos'!$N$5:$N$10-('2. Investicijos'!$H$5:$H$10*'7. Pasirinktinis scenarijus'!$C$6),0),'2. Investicijos'!$O$5:$O$10/100)/SUM(IF('2. Investicijos'!$N$5:$N$10&gt;('2. Investicijos'!$H$5:$H$10*'7. Pasirinktinis scenarijus'!$C$6),'2. Investicijos'!$N$5:$N$10-('2. Investicijos'!$H$5:$H$10*'7. Pasirinktinis scenarijus'!$C$6),0)),0)</f>
        <v>#VALUE!</v>
      </c>
      <c r="K96" s="62">
        <f>SUM(AF$5:AF$10)</f>
        <v>0</v>
      </c>
      <c r="L96" s="62">
        <f>SUM(V$5:V$10)</f>
        <v>0</v>
      </c>
      <c r="M96" s="62">
        <f>SUM(AP$5:AP$10)</f>
        <v>0</v>
      </c>
      <c r="N96" s="62">
        <f>'3. Finansinės prielaidos'!I30+M96</f>
        <v>0</v>
      </c>
      <c r="O96" s="62">
        <f>'3. Finansinės prielaidos'!I31</f>
        <v>0</v>
      </c>
      <c r="P96" s="62">
        <f>'3. Finansinės prielaidos'!I32</f>
        <v>0</v>
      </c>
      <c r="Q96" s="62" t="e">
        <f t="shared" si="48"/>
        <v>#VALUE!</v>
      </c>
      <c r="R96" s="62" t="e">
        <f>R95+('3. Finansinės prielaidos'!I31-'3. Finansinės prielaidos'!H31)+Q96</f>
        <v>#VALUE!</v>
      </c>
      <c r="S96" s="62" t="e" cm="1">
        <f t="array" ref="S96">SUMPRODUCT(--(2032&gt;'2. Investicijos'!$F$5:$F$10),--(2032&lt;='2. Investicijos'!$F$5:$F$10+'2. Investicijos'!$G$5:$G$10),IFERROR(('2. Investicijos'!$M$5:$M$10+IF('2. Investicijos'!$N$5:$N$10&gt;('2. Investicijos'!$H$5:$H$10*'7. Pasirinktinis scenarijus'!$C$6),'2. Investicijos'!$N$5:$N$10-('2. Investicijos'!$H$5:$H$10*'7. Pasirinktinis scenarijus'!$C$6),0)+('2. Investicijos'!$H$5:$H$10*'7. Pasirinktinis scenarijus'!$C$6))/'2. Investicijos'!$G$5:$G$10,0))+SUMPRODUCT(--(2032&gt;'2. Investicijos'!$F$5:$F$10),--(2032&lt;='2. Investicijos'!$F$5:$F$10+'2. Investicijos'!$G$5:$G$10),IFERROR(('2. Investicijos'!$M$5:$M$10+IF('2. Investicijos'!$N$5:$N$10&gt;('2. Investicijos'!$H$5:$H$10*'7. Pasirinktinis scenarijus'!$C$6),'2. Investicijos'!$N$5:$N$10-('2. Investicijos'!$H$5:$H$10*'7. Pasirinktinis scenarijus'!$C$6),0))*(1-((2032-'2. Investicijos'!$F$5:$F$10)-1)/'2. Investicijos'!$G$5:$G$10),0)*'5. 0% scenarijus'!$C$5)</f>
        <v>#VALUE!</v>
      </c>
      <c r="T96" s="62" t="e">
        <f>'3. Finansinės prielaidos'!I29+S96+G96</f>
        <v>#VALUE!</v>
      </c>
      <c r="U96" s="62" t="e">
        <f t="shared" si="49"/>
        <v>#VALUE!</v>
      </c>
      <c r="V96" s="72" t="e">
        <f t="shared" si="50"/>
        <v>#VALUE!</v>
      </c>
      <c r="W96" s="72" t="e">
        <f t="shared" si="51"/>
        <v>#VALUE!</v>
      </c>
      <c r="X96" s="57" t="e">
        <f t="shared" si="52"/>
        <v>#VALUE!</v>
      </c>
      <c r="Y96" s="57" t="e">
        <f t="shared" si="53"/>
        <v>#VALUE!</v>
      </c>
      <c r="Z96" s="57"/>
      <c r="AA96" s="57"/>
      <c r="AB96" s="57"/>
      <c r="AC96" s="57"/>
      <c r="AD96" s="57"/>
      <c r="AE96" s="57"/>
      <c r="AF96" s="57"/>
      <c r="AG96" s="57"/>
      <c r="AH96" s="57"/>
      <c r="AI96" s="57"/>
      <c r="AJ96" s="57"/>
      <c r="AK96" s="57"/>
      <c r="AL96" s="57"/>
      <c r="AM96" s="57"/>
      <c r="AN96" s="57"/>
      <c r="AO96" s="57"/>
      <c r="AP96" s="57"/>
      <c r="AQ96" s="57"/>
      <c r="AR96" s="57"/>
      <c r="AS96" s="57"/>
    </row>
    <row r="97" spans="1:45">
      <c r="A97" s="57">
        <v>6</v>
      </c>
      <c r="B97" s="57">
        <v>2033</v>
      </c>
      <c r="C97" s="62">
        <f>SUM('4. Metinis CAPEX'!M$9:M$14)</f>
        <v>0</v>
      </c>
      <c r="D97" s="62" cm="1">
        <f t="array" ref="D97">SUMPRODUCT('4. Metinis CAPEX'!M$9:M$14,IFERROR('2. Investicijos'!$N$5:$N$10/'2. Investicijos'!$H$5:$H$10,0))</f>
        <v>0</v>
      </c>
      <c r="E97" s="62" cm="1">
        <f t="array" ref="E97">SUMPRODUCT('4. Metinis CAPEX'!M$9:M$14,IFERROR(('2. Investicijos'!$I$5:$I$10+'2. Investicijos'!$J$5:$J$10+'2. Investicijos'!$K$5:$K$10+'2. Investicijos'!$L$5:$L$10)/'2. Investicijos'!$H$5:$H$10,0))</f>
        <v>0</v>
      </c>
      <c r="F97" s="62" cm="1">
        <f t="array" ref="F97">SUM('2. Investicijos'!$H$5:$H$10*'7. Pasirinktinis scenarijus'!$C$6)</f>
        <v>0</v>
      </c>
      <c r="G97" s="62" cm="1">
        <f t="array" ref="G97">IF(AND(2033&gt;=2026,2033&lt;2026+'7. Pasirinktinis scenarijus'!$C$5),SUM('2. Investicijos'!$H$5:$H$10*'7. Pasirinktinis scenarijus'!$C$6)/'7. Pasirinktinis scenarijus'!$C$5,0)</f>
        <v>0</v>
      </c>
      <c r="H97" s="62">
        <f t="shared" si="47"/>
        <v>0</v>
      </c>
      <c r="I97" s="62">
        <f>SUM(M$5:M$10)</f>
        <v>0</v>
      </c>
      <c r="J97" s="62" t="e" cm="1">
        <f t="array" ref="J97">K97+L97+MAX(0,-R96)*IFERROR(SUMPRODUCT(IF('2. Investicijos'!$N$5:$N$10&gt;('2. Investicijos'!$H$5:$H$10*'7. Pasirinktinis scenarijus'!$C$6),'2. Investicijos'!$N$5:$N$10-('2. Investicijos'!$H$5:$H$10*'7. Pasirinktinis scenarijus'!$C$6),0),'2. Investicijos'!$O$5:$O$10/100)/SUM(IF('2. Investicijos'!$N$5:$N$10&gt;('2. Investicijos'!$H$5:$H$10*'7. Pasirinktinis scenarijus'!$C$6),'2. Investicijos'!$N$5:$N$10-('2. Investicijos'!$H$5:$H$10*'7. Pasirinktinis scenarijus'!$C$6),0)),0)</f>
        <v>#VALUE!</v>
      </c>
      <c r="K97" s="62">
        <f>SUM(AG$5:AG$10)</f>
        <v>0</v>
      </c>
      <c r="L97" s="62">
        <f>SUM(W$5:W$10)</f>
        <v>0</v>
      </c>
      <c r="M97" s="62">
        <f>SUM(AQ$5:AQ$10)</f>
        <v>0</v>
      </c>
      <c r="N97" s="62">
        <f>'3. Finansinės prielaidos'!J30+M97</f>
        <v>0</v>
      </c>
      <c r="O97" s="62">
        <f>'3. Finansinės prielaidos'!J31</f>
        <v>0</v>
      </c>
      <c r="P97" s="62">
        <f>'3. Finansinės prielaidos'!J32</f>
        <v>0</v>
      </c>
      <c r="Q97" s="62" t="e">
        <f t="shared" si="48"/>
        <v>#VALUE!</v>
      </c>
      <c r="R97" s="62" t="e">
        <f>R96+('3. Finansinės prielaidos'!J31-'3. Finansinės prielaidos'!I31)+Q97</f>
        <v>#VALUE!</v>
      </c>
      <c r="S97" s="62" t="e" cm="1">
        <f t="array" ref="S97">SUMPRODUCT(--(2033&gt;'2. Investicijos'!$F$5:$F$10),--(2033&lt;='2. Investicijos'!$F$5:$F$10+'2. Investicijos'!$G$5:$G$10),IFERROR(('2. Investicijos'!$M$5:$M$10+IF('2. Investicijos'!$N$5:$N$10&gt;('2. Investicijos'!$H$5:$H$10*'7. Pasirinktinis scenarijus'!$C$6),'2. Investicijos'!$N$5:$N$10-('2. Investicijos'!$H$5:$H$10*'7. Pasirinktinis scenarijus'!$C$6),0)+('2. Investicijos'!$H$5:$H$10*'7. Pasirinktinis scenarijus'!$C$6))/'2. Investicijos'!$G$5:$G$10,0))+SUMPRODUCT(--(2033&gt;'2. Investicijos'!$F$5:$F$10),--(2033&lt;='2. Investicijos'!$F$5:$F$10+'2. Investicijos'!$G$5:$G$10),IFERROR(('2. Investicijos'!$M$5:$M$10+IF('2. Investicijos'!$N$5:$N$10&gt;('2. Investicijos'!$H$5:$H$10*'7. Pasirinktinis scenarijus'!$C$6),'2. Investicijos'!$N$5:$N$10-('2. Investicijos'!$H$5:$H$10*'7. Pasirinktinis scenarijus'!$C$6),0))*(1-((2033-'2. Investicijos'!$F$5:$F$10)-1)/'2. Investicijos'!$G$5:$G$10),0)*'5. 0% scenarijus'!$C$5)</f>
        <v>#VALUE!</v>
      </c>
      <c r="T97" s="62" t="e">
        <f>'3. Finansinės prielaidos'!J29+S97+G97</f>
        <v>#VALUE!</v>
      </c>
      <c r="U97" s="62" t="e">
        <f t="shared" si="49"/>
        <v>#VALUE!</v>
      </c>
      <c r="V97" s="72" t="e">
        <f t="shared" si="50"/>
        <v>#VALUE!</v>
      </c>
      <c r="W97" s="72" t="e">
        <f t="shared" si="51"/>
        <v>#VALUE!</v>
      </c>
      <c r="X97" s="57" t="e">
        <f t="shared" si="52"/>
        <v>#VALUE!</v>
      </c>
      <c r="Y97" s="57" t="e">
        <f t="shared" si="53"/>
        <v>#VALUE!</v>
      </c>
      <c r="Z97" s="57"/>
      <c r="AA97" s="57"/>
      <c r="AB97" s="57"/>
      <c r="AC97" s="57"/>
      <c r="AD97" s="57"/>
      <c r="AE97" s="57"/>
      <c r="AF97" s="57"/>
      <c r="AG97" s="57"/>
      <c r="AH97" s="57"/>
      <c r="AI97" s="57"/>
      <c r="AJ97" s="57"/>
      <c r="AK97" s="57"/>
      <c r="AL97" s="57"/>
      <c r="AM97" s="57"/>
      <c r="AN97" s="57"/>
      <c r="AO97" s="57"/>
      <c r="AP97" s="57"/>
      <c r="AQ97" s="57"/>
      <c r="AR97" s="57"/>
      <c r="AS97" s="57"/>
    </row>
    <row r="98" spans="1:45">
      <c r="A98" s="57">
        <v>6</v>
      </c>
      <c r="B98" s="57">
        <v>2034</v>
      </c>
      <c r="C98" s="62">
        <f>SUM('4. Metinis CAPEX'!N$9:N$14)</f>
        <v>0</v>
      </c>
      <c r="D98" s="62" cm="1">
        <f t="array" ref="D98">SUMPRODUCT('4. Metinis CAPEX'!N$9:N$14,IFERROR('2. Investicijos'!$N$5:$N$10/'2. Investicijos'!$H$5:$H$10,0))</f>
        <v>0</v>
      </c>
      <c r="E98" s="62" cm="1">
        <f t="array" ref="E98">SUMPRODUCT('4. Metinis CAPEX'!N$9:N$14,IFERROR(('2. Investicijos'!$I$5:$I$10+'2. Investicijos'!$J$5:$J$10+'2. Investicijos'!$K$5:$K$10+'2. Investicijos'!$L$5:$L$10)/'2. Investicijos'!$H$5:$H$10,0))</f>
        <v>0</v>
      </c>
      <c r="F98" s="62" cm="1">
        <f t="array" ref="F98">SUM('2. Investicijos'!$H$5:$H$10*'7. Pasirinktinis scenarijus'!$C$6)</f>
        <v>0</v>
      </c>
      <c r="G98" s="62" cm="1">
        <f t="array" ref="G98">IF(AND(2034&gt;=2026,2034&lt;2026+'7. Pasirinktinis scenarijus'!$C$5),SUM('2. Investicijos'!$H$5:$H$10*'7. Pasirinktinis scenarijus'!$C$6)/'7. Pasirinktinis scenarijus'!$C$5,0)</f>
        <v>0</v>
      </c>
      <c r="H98" s="62">
        <f t="shared" si="47"/>
        <v>0</v>
      </c>
      <c r="I98" s="62">
        <f>SUM(N$5:N$10)</f>
        <v>0</v>
      </c>
      <c r="J98" s="62" t="e" cm="1">
        <f t="array" ref="J98">K98+L98+MAX(0,-R97)*IFERROR(SUMPRODUCT(IF('2. Investicijos'!$N$5:$N$10&gt;('2. Investicijos'!$H$5:$H$10*'7. Pasirinktinis scenarijus'!$C$6),'2. Investicijos'!$N$5:$N$10-('2. Investicijos'!$H$5:$H$10*'7. Pasirinktinis scenarijus'!$C$6),0),'2. Investicijos'!$O$5:$O$10/100)/SUM(IF('2. Investicijos'!$N$5:$N$10&gt;('2. Investicijos'!$H$5:$H$10*'7. Pasirinktinis scenarijus'!$C$6),'2. Investicijos'!$N$5:$N$10-('2. Investicijos'!$H$5:$H$10*'7. Pasirinktinis scenarijus'!$C$6),0)),0)</f>
        <v>#VALUE!</v>
      </c>
      <c r="K98" s="62">
        <f>SUM(AH$5:AH$10)</f>
        <v>0</v>
      </c>
      <c r="L98" s="62">
        <f>SUM(X$5:X$10)</f>
        <v>0</v>
      </c>
      <c r="M98" s="62">
        <f>SUM(AR$5:AR$10)</f>
        <v>0</v>
      </c>
      <c r="N98" s="62">
        <f>'3. Finansinės prielaidos'!K30+M98</f>
        <v>0</v>
      </c>
      <c r="O98" s="62">
        <f>'3. Finansinės prielaidos'!K31</f>
        <v>0</v>
      </c>
      <c r="P98" s="62">
        <f>'3. Finansinės prielaidos'!K32</f>
        <v>0</v>
      </c>
      <c r="Q98" s="62" t="e">
        <f t="shared" si="48"/>
        <v>#VALUE!</v>
      </c>
      <c r="R98" s="62" t="e">
        <f>R97+('3. Finansinės prielaidos'!K31-'3. Finansinės prielaidos'!J31)+Q98</f>
        <v>#VALUE!</v>
      </c>
      <c r="S98" s="62" t="e" cm="1">
        <f t="array" ref="S98">SUMPRODUCT(--(2034&gt;'2. Investicijos'!$F$5:$F$10),--(2034&lt;='2. Investicijos'!$F$5:$F$10+'2. Investicijos'!$G$5:$G$10),IFERROR(('2. Investicijos'!$M$5:$M$10+IF('2. Investicijos'!$N$5:$N$10&gt;('2. Investicijos'!$H$5:$H$10*'7. Pasirinktinis scenarijus'!$C$6),'2. Investicijos'!$N$5:$N$10-('2. Investicijos'!$H$5:$H$10*'7. Pasirinktinis scenarijus'!$C$6),0)+('2. Investicijos'!$H$5:$H$10*'7. Pasirinktinis scenarijus'!$C$6))/'2. Investicijos'!$G$5:$G$10,0))+SUMPRODUCT(--(2034&gt;'2. Investicijos'!$F$5:$F$10),--(2034&lt;='2. Investicijos'!$F$5:$F$10+'2. Investicijos'!$G$5:$G$10),IFERROR(('2. Investicijos'!$M$5:$M$10+IF('2. Investicijos'!$N$5:$N$10&gt;('2. Investicijos'!$H$5:$H$10*'7. Pasirinktinis scenarijus'!$C$6),'2. Investicijos'!$N$5:$N$10-('2. Investicijos'!$H$5:$H$10*'7. Pasirinktinis scenarijus'!$C$6),0))*(1-((2034-'2. Investicijos'!$F$5:$F$10)-1)/'2. Investicijos'!$G$5:$G$10),0)*'5. 0% scenarijus'!$C$5)</f>
        <v>#VALUE!</v>
      </c>
      <c r="T98" s="62" t="e">
        <f>'3. Finansinės prielaidos'!K29+S98+G98</f>
        <v>#VALUE!</v>
      </c>
      <c r="U98" s="62" t="e">
        <f t="shared" si="49"/>
        <v>#VALUE!</v>
      </c>
      <c r="V98" s="72" t="e">
        <f t="shared" si="50"/>
        <v>#VALUE!</v>
      </c>
      <c r="W98" s="72" t="e">
        <f t="shared" si="51"/>
        <v>#VALUE!</v>
      </c>
      <c r="X98" s="57" t="e">
        <f t="shared" si="52"/>
        <v>#VALUE!</v>
      </c>
      <c r="Y98" s="57" t="e">
        <f t="shared" si="53"/>
        <v>#VALUE!</v>
      </c>
      <c r="Z98" s="57"/>
      <c r="AA98" s="57"/>
      <c r="AB98" s="57"/>
      <c r="AC98" s="57"/>
      <c r="AD98" s="57"/>
      <c r="AE98" s="57"/>
      <c r="AF98" s="57"/>
      <c r="AG98" s="57"/>
      <c r="AH98" s="57"/>
      <c r="AI98" s="57"/>
      <c r="AJ98" s="57"/>
      <c r="AK98" s="57"/>
      <c r="AL98" s="57"/>
      <c r="AM98" s="57"/>
      <c r="AN98" s="57"/>
      <c r="AO98" s="57"/>
      <c r="AP98" s="57"/>
      <c r="AQ98" s="57"/>
      <c r="AR98" s="57"/>
      <c r="AS98" s="57"/>
    </row>
    <row r="99" spans="1:45">
      <c r="A99" s="57">
        <v>6</v>
      </c>
      <c r="B99" s="57">
        <v>2035</v>
      </c>
      <c r="C99" s="62">
        <f>SUM('4. Metinis CAPEX'!O$9:O$14)</f>
        <v>0</v>
      </c>
      <c r="D99" s="62" cm="1">
        <f t="array" ref="D99">SUMPRODUCT('4. Metinis CAPEX'!O$9:O$14,IFERROR('2. Investicijos'!$N$5:$N$10/'2. Investicijos'!$H$5:$H$10,0))</f>
        <v>0</v>
      </c>
      <c r="E99" s="62" cm="1">
        <f t="array" ref="E99">SUMPRODUCT('4. Metinis CAPEX'!O$9:O$14,IFERROR(('2. Investicijos'!$I$5:$I$10+'2. Investicijos'!$J$5:$J$10+'2. Investicijos'!$K$5:$K$10+'2. Investicijos'!$L$5:$L$10)/'2. Investicijos'!$H$5:$H$10,0))</f>
        <v>0</v>
      </c>
      <c r="F99" s="62" cm="1">
        <f t="array" ref="F99">SUM('2. Investicijos'!$H$5:$H$10*'7. Pasirinktinis scenarijus'!$C$6)</f>
        <v>0</v>
      </c>
      <c r="G99" s="62" cm="1">
        <f t="array" ref="G99">IF(AND(2035&gt;=2026,2035&lt;2026+'7. Pasirinktinis scenarijus'!$C$5),SUM('2. Investicijos'!$H$5:$H$10*'7. Pasirinktinis scenarijus'!$C$6)/'7. Pasirinktinis scenarijus'!$C$5,0)</f>
        <v>0</v>
      </c>
      <c r="H99" s="62">
        <f t="shared" si="47"/>
        <v>0</v>
      </c>
      <c r="I99" s="62">
        <f>SUM(O$5:O$10)</f>
        <v>0</v>
      </c>
      <c r="J99" s="62" t="e" cm="1">
        <f t="array" ref="J99">K99+L99+MAX(0,-R98)*IFERROR(SUMPRODUCT(IF('2. Investicijos'!$N$5:$N$10&gt;('2. Investicijos'!$H$5:$H$10*'7. Pasirinktinis scenarijus'!$C$6),'2. Investicijos'!$N$5:$N$10-('2. Investicijos'!$H$5:$H$10*'7. Pasirinktinis scenarijus'!$C$6),0),'2. Investicijos'!$O$5:$O$10/100)/SUM(IF('2. Investicijos'!$N$5:$N$10&gt;('2. Investicijos'!$H$5:$H$10*'7. Pasirinktinis scenarijus'!$C$6),'2. Investicijos'!$N$5:$N$10-('2. Investicijos'!$H$5:$H$10*'7. Pasirinktinis scenarijus'!$C$6),0)),0)</f>
        <v>#VALUE!</v>
      </c>
      <c r="K99" s="62">
        <f>SUM(AI$5:AI$10)</f>
        <v>0</v>
      </c>
      <c r="L99" s="62">
        <f>SUM(Y$5:Y$10)</f>
        <v>0</v>
      </c>
      <c r="M99" s="62">
        <f>SUM(AS$5:AS$10)</f>
        <v>0</v>
      </c>
      <c r="N99" s="62">
        <f>'3. Finansinės prielaidos'!L30+M99</f>
        <v>0</v>
      </c>
      <c r="O99" s="62">
        <f>'3. Finansinės prielaidos'!L31</f>
        <v>0</v>
      </c>
      <c r="P99" s="62">
        <f>'3. Finansinės prielaidos'!L32</f>
        <v>0</v>
      </c>
      <c r="Q99" s="62" t="e">
        <f t="shared" si="48"/>
        <v>#VALUE!</v>
      </c>
      <c r="R99" s="62" t="e">
        <f>R98+('3. Finansinės prielaidos'!L31-'3. Finansinės prielaidos'!K31)+Q99</f>
        <v>#VALUE!</v>
      </c>
      <c r="S99" s="62" t="e" cm="1">
        <f t="array" ref="S99">SUMPRODUCT(--(2035&gt;'2. Investicijos'!$F$5:$F$10),--(2035&lt;='2. Investicijos'!$F$5:$F$10+'2. Investicijos'!$G$5:$G$10),IFERROR(('2. Investicijos'!$M$5:$M$10+IF('2. Investicijos'!$N$5:$N$10&gt;('2. Investicijos'!$H$5:$H$10*'7. Pasirinktinis scenarijus'!$C$6),'2. Investicijos'!$N$5:$N$10-('2. Investicijos'!$H$5:$H$10*'7. Pasirinktinis scenarijus'!$C$6),0)+('2. Investicijos'!$H$5:$H$10*'7. Pasirinktinis scenarijus'!$C$6))/'2. Investicijos'!$G$5:$G$10,0))+SUMPRODUCT(--(2035&gt;'2. Investicijos'!$F$5:$F$10),--(2035&lt;='2. Investicijos'!$F$5:$F$10+'2. Investicijos'!$G$5:$G$10),IFERROR(('2. Investicijos'!$M$5:$M$10+IF('2. Investicijos'!$N$5:$N$10&gt;('2. Investicijos'!$H$5:$H$10*'7. Pasirinktinis scenarijus'!$C$6),'2. Investicijos'!$N$5:$N$10-('2. Investicijos'!$H$5:$H$10*'7. Pasirinktinis scenarijus'!$C$6),0))*(1-((2035-'2. Investicijos'!$F$5:$F$10)-1)/'2. Investicijos'!$G$5:$G$10),0)*'5. 0% scenarijus'!$C$5)</f>
        <v>#VALUE!</v>
      </c>
      <c r="T99" s="62" t="e">
        <f>'3. Finansinės prielaidos'!L29+S99+G99</f>
        <v>#VALUE!</v>
      </c>
      <c r="U99" s="62" t="e">
        <f t="shared" si="49"/>
        <v>#VALUE!</v>
      </c>
      <c r="V99" s="72" t="e">
        <f t="shared" si="50"/>
        <v>#VALUE!</v>
      </c>
      <c r="W99" s="72" t="e">
        <f t="shared" si="51"/>
        <v>#VALUE!</v>
      </c>
      <c r="X99" s="57" t="e">
        <f t="shared" si="52"/>
        <v>#VALUE!</v>
      </c>
      <c r="Y99" s="57" t="e">
        <f t="shared" si="53"/>
        <v>#VALUE!</v>
      </c>
      <c r="Z99" s="57"/>
      <c r="AA99" s="57"/>
      <c r="AB99" s="57"/>
      <c r="AC99" s="57"/>
      <c r="AD99" s="57"/>
      <c r="AE99" s="57"/>
      <c r="AF99" s="57"/>
      <c r="AG99" s="57"/>
      <c r="AH99" s="57"/>
      <c r="AI99" s="57"/>
      <c r="AJ99" s="57"/>
      <c r="AK99" s="57"/>
      <c r="AL99" s="57"/>
      <c r="AM99" s="57"/>
      <c r="AN99" s="57"/>
      <c r="AO99" s="57"/>
      <c r="AP99" s="57"/>
      <c r="AQ99" s="57"/>
      <c r="AR99" s="57"/>
      <c r="AS99" s="57"/>
    </row>
    <row r="100" spans="1:45">
      <c r="A100" s="57">
        <v>7</v>
      </c>
      <c r="B100" s="57">
        <v>2026</v>
      </c>
      <c r="C100" s="62">
        <f>SUM('4. Metinis CAPEX'!F$9:F$15)</f>
        <v>0</v>
      </c>
      <c r="D100" s="62" cm="1">
        <f t="array" ref="D100">SUMPRODUCT('4. Metinis CAPEX'!F$9:F$15,IFERROR('2. Investicijos'!$N$5:$N$11/'2. Investicijos'!$H$5:$H$11,0))</f>
        <v>0</v>
      </c>
      <c r="E100" s="62" cm="1">
        <f t="array" ref="E100">SUMPRODUCT('4. Metinis CAPEX'!F$9:F$15,IFERROR(('2. Investicijos'!$I$5:$I$11+'2. Investicijos'!$J$5:$J$11+'2. Investicijos'!$K$5:$K$11+'2. Investicijos'!$L$5:$L$11)/'2. Investicijos'!$H$5:$H$11,0))</f>
        <v>0</v>
      </c>
      <c r="F100" s="62" cm="1">
        <f t="array" ref="F100">SUM('2. Investicijos'!$H$5:$H$11*'7. Pasirinktinis scenarijus'!$C$6)</f>
        <v>0</v>
      </c>
      <c r="G100" s="62" cm="1">
        <f t="array" ref="G100">IF(AND(2026&gt;=2026,2026&lt;2026+'7. Pasirinktinis scenarijus'!$C$5),SUM('2. Investicijos'!$H$5:$H$11*'7. Pasirinktinis scenarijus'!$C$6)/'7. Pasirinktinis scenarijus'!$C$5,0)</f>
        <v>0</v>
      </c>
      <c r="H100" s="62">
        <f t="shared" si="47"/>
        <v>0</v>
      </c>
      <c r="I100" s="62">
        <f>SUM(F$5:F$11)</f>
        <v>0</v>
      </c>
      <c r="J100" s="62">
        <f>0</f>
        <v>0</v>
      </c>
      <c r="K100" s="62">
        <f>SUM(Z$5:Z$11)</f>
        <v>0</v>
      </c>
      <c r="L100" s="62">
        <f>SUM(P$5:P$11)</f>
        <v>0</v>
      </c>
      <c r="M100" s="62">
        <f>SUM(AJ$5:AJ$11)</f>
        <v>0</v>
      </c>
      <c r="N100" s="62">
        <f>'3. Finansinės prielaidos'!C30+M100</f>
        <v>0</v>
      </c>
      <c r="O100" s="62">
        <f>'3. Finansinės prielaidos'!C31</f>
        <v>0</v>
      </c>
      <c r="P100" s="62">
        <f>'3. Finansinės prielaidos'!C32</f>
        <v>0</v>
      </c>
      <c r="Q100" s="62" t="e">
        <f t="shared" si="48"/>
        <v>#VALUE!</v>
      </c>
      <c r="R100" s="62" t="e">
        <f>O100+Q100</f>
        <v>#VALUE!</v>
      </c>
      <c r="S100" s="62" t="e" cm="1">
        <f t="array" ref="S100">SUMPRODUCT(--(2026&gt;'2. Investicijos'!$F$5:$F$11),--(2026&lt;='2. Investicijos'!$F$5:$F$11+'2. Investicijos'!$G$5:$G$11),IFERROR(('2. Investicijos'!$M$5:$M$11+IF('2. Investicijos'!$N$5:$N$11&gt;('2. Investicijos'!$H$5:$H$11*'7. Pasirinktinis scenarijus'!$C$6),'2. Investicijos'!$N$5:$N$11-('2. Investicijos'!$H$5:$H$11*'7. Pasirinktinis scenarijus'!$C$6),0)+('2. Investicijos'!$H$5:$H$11*'7. Pasirinktinis scenarijus'!$C$6))/'2. Investicijos'!$G$5:$G$11,0))+SUMPRODUCT(--(2026&gt;'2. Investicijos'!$F$5:$F$11),--(2026&lt;='2. Investicijos'!$F$5:$F$11+'2. Investicijos'!$G$5:$G$11),IFERROR(('2. Investicijos'!$M$5:$M$11+IF('2. Investicijos'!$N$5:$N$11&gt;('2. Investicijos'!$H$5:$H$11*'7. Pasirinktinis scenarijus'!$C$6),'2. Investicijos'!$N$5:$N$11-('2. Investicijos'!$H$5:$H$11*'7. Pasirinktinis scenarijus'!$C$6),0))*(1-((2026-'2. Investicijos'!$F$5:$F$11)-1)/'2. Investicijos'!$G$5:$G$11),0)*'5. 0% scenarijus'!$C$5)</f>
        <v>#VALUE!</v>
      </c>
      <c r="T100" s="62" t="e">
        <f>'3. Finansinės prielaidos'!C29+S100+G100</f>
        <v>#VALUE!</v>
      </c>
      <c r="U100" s="62" t="e">
        <f t="shared" si="49"/>
        <v>#VALUE!</v>
      </c>
      <c r="V100" s="72" t="e">
        <f t="shared" si="50"/>
        <v>#VALUE!</v>
      </c>
      <c r="W100" s="72" t="e">
        <f t="shared" si="51"/>
        <v>#VALUE!</v>
      </c>
      <c r="X100" s="57" t="e">
        <f t="shared" si="52"/>
        <v>#VALUE!</v>
      </c>
      <c r="Y100" s="57" t="e">
        <f t="shared" si="53"/>
        <v>#VALUE!</v>
      </c>
      <c r="Z100" s="57"/>
      <c r="AA100" s="57"/>
      <c r="AB100" s="57"/>
      <c r="AC100" s="57"/>
      <c r="AD100" s="57"/>
      <c r="AE100" s="57"/>
      <c r="AF100" s="57"/>
      <c r="AG100" s="57"/>
      <c r="AH100" s="57"/>
      <c r="AI100" s="57"/>
      <c r="AJ100" s="57"/>
      <c r="AK100" s="57"/>
      <c r="AL100" s="57"/>
      <c r="AM100" s="57"/>
      <c r="AN100" s="57"/>
      <c r="AO100" s="57"/>
      <c r="AP100" s="57"/>
      <c r="AQ100" s="57"/>
      <c r="AR100" s="57"/>
      <c r="AS100" s="57"/>
    </row>
    <row r="101" spans="1:45">
      <c r="A101" s="57">
        <v>7</v>
      </c>
      <c r="B101" s="57">
        <v>2027</v>
      </c>
      <c r="C101" s="62">
        <f>SUM('4. Metinis CAPEX'!G$9:G$15)</f>
        <v>0</v>
      </c>
      <c r="D101" s="62" cm="1">
        <f t="array" ref="D101">SUMPRODUCT('4. Metinis CAPEX'!G$9:G$15,IFERROR('2. Investicijos'!$N$5:$N$11/'2. Investicijos'!$H$5:$H$11,0))</f>
        <v>0</v>
      </c>
      <c r="E101" s="62" cm="1">
        <f t="array" ref="E101">SUMPRODUCT('4. Metinis CAPEX'!G$9:G$15,IFERROR(('2. Investicijos'!$I$5:$I$11+'2. Investicijos'!$J$5:$J$11+'2. Investicijos'!$K$5:$K$11+'2. Investicijos'!$L$5:$L$11)/'2. Investicijos'!$H$5:$H$11,0))</f>
        <v>0</v>
      </c>
      <c r="F101" s="62" cm="1">
        <f t="array" ref="F101">SUM('2. Investicijos'!$H$5:$H$11*'7. Pasirinktinis scenarijus'!$C$6)</f>
        <v>0</v>
      </c>
      <c r="G101" s="62" cm="1">
        <f t="array" ref="G101">IF(AND(2027&gt;=2026,2027&lt;2026+'7. Pasirinktinis scenarijus'!$C$5),SUM('2. Investicijos'!$H$5:$H$11*'7. Pasirinktinis scenarijus'!$C$6)/'7. Pasirinktinis scenarijus'!$C$5,0)</f>
        <v>0</v>
      </c>
      <c r="H101" s="62">
        <f t="shared" si="47"/>
        <v>0</v>
      </c>
      <c r="I101" s="62">
        <f>SUM(G$5:G$11)</f>
        <v>0</v>
      </c>
      <c r="J101" s="62" t="e" cm="1">
        <f t="array" ref="J101">K101+L101+MAX(0,-R100)*IFERROR(SUMPRODUCT(IF('2. Investicijos'!$N$5:$N$11&gt;('2. Investicijos'!$H$5:$H$11*'7. Pasirinktinis scenarijus'!$C$6),'2. Investicijos'!$N$5:$N$11-('2. Investicijos'!$H$5:$H$11*'7. Pasirinktinis scenarijus'!$C$6),0),'2. Investicijos'!$O$5:$O$11/100)/SUM(IF('2. Investicijos'!$N$5:$N$11&gt;('2. Investicijos'!$H$5:$H$11*'7. Pasirinktinis scenarijus'!$C$6),'2. Investicijos'!$N$5:$N$11-('2. Investicijos'!$H$5:$H$11*'7. Pasirinktinis scenarijus'!$C$6),0)),0)</f>
        <v>#VALUE!</v>
      </c>
      <c r="K101" s="62">
        <f>SUM(AA$5:AA$11)</f>
        <v>0</v>
      </c>
      <c r="L101" s="62">
        <f>SUM(Q$5:Q$11)</f>
        <v>0</v>
      </c>
      <c r="M101" s="62">
        <f>SUM(AK$5:AK$11)</f>
        <v>0</v>
      </c>
      <c r="N101" s="62">
        <f>'3. Finansinės prielaidos'!D30+M101</f>
        <v>0</v>
      </c>
      <c r="O101" s="62">
        <f>'3. Finansinės prielaidos'!D31</f>
        <v>0</v>
      </c>
      <c r="P101" s="62">
        <f>'3. Finansinės prielaidos'!D32</f>
        <v>0</v>
      </c>
      <c r="Q101" s="62" t="e">
        <f t="shared" si="48"/>
        <v>#VALUE!</v>
      </c>
      <c r="R101" s="62" t="e">
        <f>R100+('3. Finansinės prielaidos'!D31-'3. Finansinės prielaidos'!C31)+Q101</f>
        <v>#VALUE!</v>
      </c>
      <c r="S101" s="62" t="e" cm="1">
        <f t="array" ref="S101">SUMPRODUCT(--(2027&gt;'2. Investicijos'!$F$5:$F$11),--(2027&lt;='2. Investicijos'!$F$5:$F$11+'2. Investicijos'!$G$5:$G$11),IFERROR(('2. Investicijos'!$M$5:$M$11+IF('2. Investicijos'!$N$5:$N$11&gt;('2. Investicijos'!$H$5:$H$11*'7. Pasirinktinis scenarijus'!$C$6),'2. Investicijos'!$N$5:$N$11-('2. Investicijos'!$H$5:$H$11*'7. Pasirinktinis scenarijus'!$C$6),0)+('2. Investicijos'!$H$5:$H$11*'7. Pasirinktinis scenarijus'!$C$6))/'2. Investicijos'!$G$5:$G$11,0))+SUMPRODUCT(--(2027&gt;'2. Investicijos'!$F$5:$F$11),--(2027&lt;='2. Investicijos'!$F$5:$F$11+'2. Investicijos'!$G$5:$G$11),IFERROR(('2. Investicijos'!$M$5:$M$11+IF('2. Investicijos'!$N$5:$N$11&gt;('2. Investicijos'!$H$5:$H$11*'7. Pasirinktinis scenarijus'!$C$6),'2. Investicijos'!$N$5:$N$11-('2. Investicijos'!$H$5:$H$11*'7. Pasirinktinis scenarijus'!$C$6),0))*(1-((2027-'2. Investicijos'!$F$5:$F$11)-1)/'2. Investicijos'!$G$5:$G$11),0)*'5. 0% scenarijus'!$C$5)</f>
        <v>#VALUE!</v>
      </c>
      <c r="T101" s="62" t="e">
        <f>'3. Finansinės prielaidos'!D29+S101+G101</f>
        <v>#VALUE!</v>
      </c>
      <c r="U101" s="62" t="e">
        <f t="shared" si="49"/>
        <v>#VALUE!</v>
      </c>
      <c r="V101" s="72" t="e">
        <f t="shared" si="50"/>
        <v>#VALUE!</v>
      </c>
      <c r="W101" s="72" t="e">
        <f t="shared" si="51"/>
        <v>#VALUE!</v>
      </c>
      <c r="X101" s="57" t="e">
        <f t="shared" si="52"/>
        <v>#VALUE!</v>
      </c>
      <c r="Y101" s="57" t="e">
        <f t="shared" si="53"/>
        <v>#VALUE!</v>
      </c>
      <c r="Z101" s="57"/>
      <c r="AA101" s="57"/>
      <c r="AB101" s="57"/>
      <c r="AC101" s="57"/>
      <c r="AD101" s="57"/>
      <c r="AE101" s="57"/>
      <c r="AF101" s="57"/>
      <c r="AG101" s="57"/>
      <c r="AH101" s="57"/>
      <c r="AI101" s="57"/>
      <c r="AJ101" s="57"/>
      <c r="AK101" s="57"/>
      <c r="AL101" s="57"/>
      <c r="AM101" s="57"/>
      <c r="AN101" s="57"/>
      <c r="AO101" s="57"/>
      <c r="AP101" s="57"/>
      <c r="AQ101" s="57"/>
      <c r="AR101" s="57"/>
      <c r="AS101" s="57"/>
    </row>
    <row r="102" spans="1:45">
      <c r="A102" s="57">
        <v>7</v>
      </c>
      <c r="B102" s="57">
        <v>2028</v>
      </c>
      <c r="C102" s="62">
        <f>SUM('4. Metinis CAPEX'!H$9:H$15)</f>
        <v>0</v>
      </c>
      <c r="D102" s="62" cm="1">
        <f t="array" ref="D102">SUMPRODUCT('4. Metinis CAPEX'!H$9:H$15,IFERROR('2. Investicijos'!$N$5:$N$11/'2. Investicijos'!$H$5:$H$11,0))</f>
        <v>0</v>
      </c>
      <c r="E102" s="62" cm="1">
        <f t="array" ref="E102">SUMPRODUCT('4. Metinis CAPEX'!H$9:H$15,IFERROR(('2. Investicijos'!$I$5:$I$11+'2. Investicijos'!$J$5:$J$11+'2. Investicijos'!$K$5:$K$11+'2. Investicijos'!$L$5:$L$11)/'2. Investicijos'!$H$5:$H$11,0))</f>
        <v>0</v>
      </c>
      <c r="F102" s="62" cm="1">
        <f t="array" ref="F102">SUM('2. Investicijos'!$H$5:$H$11*'7. Pasirinktinis scenarijus'!$C$6)</f>
        <v>0</v>
      </c>
      <c r="G102" s="62" cm="1">
        <f t="array" ref="G102">IF(AND(2028&gt;=2026,2028&lt;2026+'7. Pasirinktinis scenarijus'!$C$5),SUM('2. Investicijos'!$H$5:$H$11*'7. Pasirinktinis scenarijus'!$C$6)/'7. Pasirinktinis scenarijus'!$C$5,0)</f>
        <v>0</v>
      </c>
      <c r="H102" s="62">
        <f t="shared" si="47"/>
        <v>0</v>
      </c>
      <c r="I102" s="62">
        <f>SUM(H$5:H$11)</f>
        <v>0</v>
      </c>
      <c r="J102" s="62" t="e" cm="1">
        <f t="array" ref="J102">K102+L102+MAX(0,-R101)*IFERROR(SUMPRODUCT(IF('2. Investicijos'!$N$5:$N$11&gt;('2. Investicijos'!$H$5:$H$11*'7. Pasirinktinis scenarijus'!$C$6),'2. Investicijos'!$N$5:$N$11-('2. Investicijos'!$H$5:$H$11*'7. Pasirinktinis scenarijus'!$C$6),0),'2. Investicijos'!$O$5:$O$11/100)/SUM(IF('2. Investicijos'!$N$5:$N$11&gt;('2. Investicijos'!$H$5:$H$11*'7. Pasirinktinis scenarijus'!$C$6),'2. Investicijos'!$N$5:$N$11-('2. Investicijos'!$H$5:$H$11*'7. Pasirinktinis scenarijus'!$C$6),0)),0)</f>
        <v>#VALUE!</v>
      </c>
      <c r="K102" s="62">
        <f>SUM(AB$5:AB$11)</f>
        <v>0</v>
      </c>
      <c r="L102" s="62">
        <f>SUM(R$5:R$11)</f>
        <v>0</v>
      </c>
      <c r="M102" s="62">
        <f>SUM(AL$5:AL$11)</f>
        <v>0</v>
      </c>
      <c r="N102" s="62">
        <f>'3. Finansinės prielaidos'!E30+M102</f>
        <v>0</v>
      </c>
      <c r="O102" s="62">
        <f>'3. Finansinės prielaidos'!E31</f>
        <v>0</v>
      </c>
      <c r="P102" s="62">
        <f>'3. Finansinės prielaidos'!E32</f>
        <v>0</v>
      </c>
      <c r="Q102" s="62" t="e">
        <f t="shared" si="48"/>
        <v>#VALUE!</v>
      </c>
      <c r="R102" s="62" t="e">
        <f>R101+('3. Finansinės prielaidos'!E31-'3. Finansinės prielaidos'!D31)+Q102</f>
        <v>#VALUE!</v>
      </c>
      <c r="S102" s="62" t="e" cm="1">
        <f t="array" ref="S102">SUMPRODUCT(--(2028&gt;'2. Investicijos'!$F$5:$F$11),--(2028&lt;='2. Investicijos'!$F$5:$F$11+'2. Investicijos'!$G$5:$G$11),IFERROR(('2. Investicijos'!$M$5:$M$11+IF('2. Investicijos'!$N$5:$N$11&gt;('2. Investicijos'!$H$5:$H$11*'7. Pasirinktinis scenarijus'!$C$6),'2. Investicijos'!$N$5:$N$11-('2. Investicijos'!$H$5:$H$11*'7. Pasirinktinis scenarijus'!$C$6),0)+('2. Investicijos'!$H$5:$H$11*'7. Pasirinktinis scenarijus'!$C$6))/'2. Investicijos'!$G$5:$G$11,0))+SUMPRODUCT(--(2028&gt;'2. Investicijos'!$F$5:$F$11),--(2028&lt;='2. Investicijos'!$F$5:$F$11+'2. Investicijos'!$G$5:$G$11),IFERROR(('2. Investicijos'!$M$5:$M$11+IF('2. Investicijos'!$N$5:$N$11&gt;('2. Investicijos'!$H$5:$H$11*'7. Pasirinktinis scenarijus'!$C$6),'2. Investicijos'!$N$5:$N$11-('2. Investicijos'!$H$5:$H$11*'7. Pasirinktinis scenarijus'!$C$6),0))*(1-((2028-'2. Investicijos'!$F$5:$F$11)-1)/'2. Investicijos'!$G$5:$G$11),0)*'5. 0% scenarijus'!$C$5)</f>
        <v>#VALUE!</v>
      </c>
      <c r="T102" s="62" t="e">
        <f>'3. Finansinės prielaidos'!E29+S102+G102</f>
        <v>#VALUE!</v>
      </c>
      <c r="U102" s="62" t="e">
        <f t="shared" si="49"/>
        <v>#VALUE!</v>
      </c>
      <c r="V102" s="72" t="e">
        <f t="shared" si="50"/>
        <v>#VALUE!</v>
      </c>
      <c r="W102" s="72" t="e">
        <f t="shared" si="51"/>
        <v>#VALUE!</v>
      </c>
      <c r="X102" s="57" t="e">
        <f t="shared" si="52"/>
        <v>#VALUE!</v>
      </c>
      <c r="Y102" s="57" t="e">
        <f t="shared" si="53"/>
        <v>#VALUE!</v>
      </c>
      <c r="Z102" s="57"/>
      <c r="AA102" s="57"/>
      <c r="AB102" s="57"/>
      <c r="AC102" s="57"/>
      <c r="AD102" s="57"/>
      <c r="AE102" s="57"/>
      <c r="AF102" s="57"/>
      <c r="AG102" s="57"/>
      <c r="AH102" s="57"/>
      <c r="AI102" s="57"/>
      <c r="AJ102" s="57"/>
      <c r="AK102" s="57"/>
      <c r="AL102" s="57"/>
      <c r="AM102" s="57"/>
      <c r="AN102" s="57"/>
      <c r="AO102" s="57"/>
      <c r="AP102" s="57"/>
      <c r="AQ102" s="57"/>
      <c r="AR102" s="57"/>
      <c r="AS102" s="57"/>
    </row>
    <row r="103" spans="1:45">
      <c r="A103" s="57">
        <v>7</v>
      </c>
      <c r="B103" s="57">
        <v>2029</v>
      </c>
      <c r="C103" s="62">
        <f>SUM('4. Metinis CAPEX'!I$9:I$15)</f>
        <v>0</v>
      </c>
      <c r="D103" s="62" cm="1">
        <f t="array" ref="D103">SUMPRODUCT('4. Metinis CAPEX'!I$9:I$15,IFERROR('2. Investicijos'!$N$5:$N$11/'2. Investicijos'!$H$5:$H$11,0))</f>
        <v>0</v>
      </c>
      <c r="E103" s="62" cm="1">
        <f t="array" ref="E103">SUMPRODUCT('4. Metinis CAPEX'!I$9:I$15,IFERROR(('2. Investicijos'!$I$5:$I$11+'2. Investicijos'!$J$5:$J$11+'2. Investicijos'!$K$5:$K$11+'2. Investicijos'!$L$5:$L$11)/'2. Investicijos'!$H$5:$H$11,0))</f>
        <v>0</v>
      </c>
      <c r="F103" s="62" cm="1">
        <f t="array" ref="F103">SUM('2. Investicijos'!$H$5:$H$11*'7. Pasirinktinis scenarijus'!$C$6)</f>
        <v>0</v>
      </c>
      <c r="G103" s="62" cm="1">
        <f t="array" ref="G103">IF(AND(2029&gt;=2026,2029&lt;2026+'7. Pasirinktinis scenarijus'!$C$5),SUM('2. Investicijos'!$H$5:$H$11*'7. Pasirinktinis scenarijus'!$C$6)/'7. Pasirinktinis scenarijus'!$C$5,0)</f>
        <v>0</v>
      </c>
      <c r="H103" s="62">
        <f t="shared" si="47"/>
        <v>0</v>
      </c>
      <c r="I103" s="62">
        <f>SUM(I$5:I$11)</f>
        <v>0</v>
      </c>
      <c r="J103" s="62" t="e" cm="1">
        <f t="array" ref="J103">K103+L103+MAX(0,-R102)*IFERROR(SUMPRODUCT(IF('2. Investicijos'!$N$5:$N$11&gt;('2. Investicijos'!$H$5:$H$11*'7. Pasirinktinis scenarijus'!$C$6),'2. Investicijos'!$N$5:$N$11-('2. Investicijos'!$H$5:$H$11*'7. Pasirinktinis scenarijus'!$C$6),0),'2. Investicijos'!$O$5:$O$11/100)/SUM(IF('2. Investicijos'!$N$5:$N$11&gt;('2. Investicijos'!$H$5:$H$11*'7. Pasirinktinis scenarijus'!$C$6),'2. Investicijos'!$N$5:$N$11-('2. Investicijos'!$H$5:$H$11*'7. Pasirinktinis scenarijus'!$C$6),0)),0)</f>
        <v>#VALUE!</v>
      </c>
      <c r="K103" s="62">
        <f>SUM(AC$5:AC$11)</f>
        <v>0</v>
      </c>
      <c r="L103" s="62">
        <f>SUM(S$5:S$11)</f>
        <v>0</v>
      </c>
      <c r="M103" s="62">
        <f>SUM(AM$5:AM$11)</f>
        <v>0</v>
      </c>
      <c r="N103" s="62">
        <f>'3. Finansinės prielaidos'!F30+M103</f>
        <v>0</v>
      </c>
      <c r="O103" s="62">
        <f>'3. Finansinės prielaidos'!F31</f>
        <v>0</v>
      </c>
      <c r="P103" s="62">
        <f>'3. Finansinės prielaidos'!F32</f>
        <v>0</v>
      </c>
      <c r="Q103" s="62" t="e">
        <f t="shared" si="48"/>
        <v>#VALUE!</v>
      </c>
      <c r="R103" s="62" t="e">
        <f>R102+('3. Finansinės prielaidos'!F31-'3. Finansinės prielaidos'!E31)+Q103</f>
        <v>#VALUE!</v>
      </c>
      <c r="S103" s="62" t="e" cm="1">
        <f t="array" ref="S103">SUMPRODUCT(--(2029&gt;'2. Investicijos'!$F$5:$F$11),--(2029&lt;='2. Investicijos'!$F$5:$F$11+'2. Investicijos'!$G$5:$G$11),IFERROR(('2. Investicijos'!$M$5:$M$11+IF('2. Investicijos'!$N$5:$N$11&gt;('2. Investicijos'!$H$5:$H$11*'7. Pasirinktinis scenarijus'!$C$6),'2. Investicijos'!$N$5:$N$11-('2. Investicijos'!$H$5:$H$11*'7. Pasirinktinis scenarijus'!$C$6),0)+('2. Investicijos'!$H$5:$H$11*'7. Pasirinktinis scenarijus'!$C$6))/'2. Investicijos'!$G$5:$G$11,0))+SUMPRODUCT(--(2029&gt;'2. Investicijos'!$F$5:$F$11),--(2029&lt;='2. Investicijos'!$F$5:$F$11+'2. Investicijos'!$G$5:$G$11),IFERROR(('2. Investicijos'!$M$5:$M$11+IF('2. Investicijos'!$N$5:$N$11&gt;('2. Investicijos'!$H$5:$H$11*'7. Pasirinktinis scenarijus'!$C$6),'2. Investicijos'!$N$5:$N$11-('2. Investicijos'!$H$5:$H$11*'7. Pasirinktinis scenarijus'!$C$6),0))*(1-((2029-'2. Investicijos'!$F$5:$F$11)-1)/'2. Investicijos'!$G$5:$G$11),0)*'5. 0% scenarijus'!$C$5)</f>
        <v>#VALUE!</v>
      </c>
      <c r="T103" s="62" t="e">
        <f>'3. Finansinės prielaidos'!F29+S103+G103</f>
        <v>#VALUE!</v>
      </c>
      <c r="U103" s="62" t="e">
        <f t="shared" si="49"/>
        <v>#VALUE!</v>
      </c>
      <c r="V103" s="72" t="e">
        <f t="shared" si="50"/>
        <v>#VALUE!</v>
      </c>
      <c r="W103" s="72" t="e">
        <f t="shared" si="51"/>
        <v>#VALUE!</v>
      </c>
      <c r="X103" s="57" t="e">
        <f t="shared" si="52"/>
        <v>#VALUE!</v>
      </c>
      <c r="Y103" s="57" t="e">
        <f t="shared" si="53"/>
        <v>#VALUE!</v>
      </c>
      <c r="Z103" s="57"/>
      <c r="AA103" s="57"/>
      <c r="AB103" s="57"/>
      <c r="AC103" s="57"/>
      <c r="AD103" s="57"/>
      <c r="AE103" s="57"/>
      <c r="AF103" s="57"/>
      <c r="AG103" s="57"/>
      <c r="AH103" s="57"/>
      <c r="AI103" s="57"/>
      <c r="AJ103" s="57"/>
      <c r="AK103" s="57"/>
      <c r="AL103" s="57"/>
      <c r="AM103" s="57"/>
      <c r="AN103" s="57"/>
      <c r="AO103" s="57"/>
      <c r="AP103" s="57"/>
      <c r="AQ103" s="57"/>
      <c r="AR103" s="57"/>
      <c r="AS103" s="57"/>
    </row>
    <row r="104" spans="1:45">
      <c r="A104" s="57">
        <v>7</v>
      </c>
      <c r="B104" s="57">
        <v>2030</v>
      </c>
      <c r="C104" s="62">
        <f>SUM('4. Metinis CAPEX'!J$9:J$15)</f>
        <v>0</v>
      </c>
      <c r="D104" s="62" cm="1">
        <f t="array" ref="D104">SUMPRODUCT('4. Metinis CAPEX'!J$9:J$15,IFERROR('2. Investicijos'!$N$5:$N$11/'2. Investicijos'!$H$5:$H$11,0))</f>
        <v>0</v>
      </c>
      <c r="E104" s="62" cm="1">
        <f t="array" ref="E104">SUMPRODUCT('4. Metinis CAPEX'!J$9:J$15,IFERROR(('2. Investicijos'!$I$5:$I$11+'2. Investicijos'!$J$5:$J$11+'2. Investicijos'!$K$5:$K$11+'2. Investicijos'!$L$5:$L$11)/'2. Investicijos'!$H$5:$H$11,0))</f>
        <v>0</v>
      </c>
      <c r="F104" s="62" cm="1">
        <f t="array" ref="F104">SUM('2. Investicijos'!$H$5:$H$11*'7. Pasirinktinis scenarijus'!$C$6)</f>
        <v>0</v>
      </c>
      <c r="G104" s="62" cm="1">
        <f t="array" ref="G104">IF(AND(2030&gt;=2026,2030&lt;2026+'7. Pasirinktinis scenarijus'!$C$5),SUM('2. Investicijos'!$H$5:$H$11*'7. Pasirinktinis scenarijus'!$C$6)/'7. Pasirinktinis scenarijus'!$C$5,0)</f>
        <v>0</v>
      </c>
      <c r="H104" s="62">
        <f t="shared" ref="H104:H135" si="54">D104-I104</f>
        <v>0</v>
      </c>
      <c r="I104" s="62">
        <f>SUM(J$5:J$11)</f>
        <v>0</v>
      </c>
      <c r="J104" s="62" t="e" cm="1">
        <f t="array" ref="J104">K104+L104+MAX(0,-R103)*IFERROR(SUMPRODUCT(IF('2. Investicijos'!$N$5:$N$11&gt;('2. Investicijos'!$H$5:$H$11*'7. Pasirinktinis scenarijus'!$C$6),'2. Investicijos'!$N$5:$N$11-('2. Investicijos'!$H$5:$H$11*'7. Pasirinktinis scenarijus'!$C$6),0),'2. Investicijos'!$O$5:$O$11/100)/SUM(IF('2. Investicijos'!$N$5:$N$11&gt;('2. Investicijos'!$H$5:$H$11*'7. Pasirinktinis scenarijus'!$C$6),'2. Investicijos'!$N$5:$N$11-('2. Investicijos'!$H$5:$H$11*'7. Pasirinktinis scenarijus'!$C$6),0)),0)</f>
        <v>#VALUE!</v>
      </c>
      <c r="K104" s="62">
        <f>SUM(AD$5:AD$11)</f>
        <v>0</v>
      </c>
      <c r="L104" s="62">
        <f>SUM(T$5:T$11)</f>
        <v>0</v>
      </c>
      <c r="M104" s="62">
        <f>SUM(AN$5:AN$11)</f>
        <v>0</v>
      </c>
      <c r="N104" s="62">
        <f>'3. Finansinės prielaidos'!G30+M104</f>
        <v>0</v>
      </c>
      <c r="O104" s="62">
        <f>'3. Finansinės prielaidos'!G31</f>
        <v>0</v>
      </c>
      <c r="P104" s="62">
        <f>'3. Finansinės prielaidos'!G32</f>
        <v>0</v>
      </c>
      <c r="Q104" s="62" t="e">
        <f t="shared" ref="Q104:Q135" si="55">S104+G104+I104+E104-C104-J104</f>
        <v>#VALUE!</v>
      </c>
      <c r="R104" s="62" t="e">
        <f>R103+('3. Finansinės prielaidos'!G31-'3. Finansinės prielaidos'!F31)+Q104</f>
        <v>#VALUE!</v>
      </c>
      <c r="S104" s="62" t="e" cm="1">
        <f t="array" ref="S104">SUMPRODUCT(--(2030&gt;'2. Investicijos'!$F$5:$F$11),--(2030&lt;='2. Investicijos'!$F$5:$F$11+'2. Investicijos'!$G$5:$G$11),IFERROR(('2. Investicijos'!$M$5:$M$11+IF('2. Investicijos'!$N$5:$N$11&gt;('2. Investicijos'!$H$5:$H$11*'7. Pasirinktinis scenarijus'!$C$6),'2. Investicijos'!$N$5:$N$11-('2. Investicijos'!$H$5:$H$11*'7. Pasirinktinis scenarijus'!$C$6),0)+('2. Investicijos'!$H$5:$H$11*'7. Pasirinktinis scenarijus'!$C$6))/'2. Investicijos'!$G$5:$G$11,0))+SUMPRODUCT(--(2030&gt;'2. Investicijos'!$F$5:$F$11),--(2030&lt;='2. Investicijos'!$F$5:$F$11+'2. Investicijos'!$G$5:$G$11),IFERROR(('2. Investicijos'!$M$5:$M$11+IF('2. Investicijos'!$N$5:$N$11&gt;('2. Investicijos'!$H$5:$H$11*'7. Pasirinktinis scenarijus'!$C$6),'2. Investicijos'!$N$5:$N$11-('2. Investicijos'!$H$5:$H$11*'7. Pasirinktinis scenarijus'!$C$6),0))*(1-((2030-'2. Investicijos'!$F$5:$F$11)-1)/'2. Investicijos'!$G$5:$G$11),0)*'5. 0% scenarijus'!$C$5)</f>
        <v>#VALUE!</v>
      </c>
      <c r="T104" s="62" t="e">
        <f>'3. Finansinės prielaidos'!G29+S104+G104</f>
        <v>#VALUE!</v>
      </c>
      <c r="U104" s="62" t="e">
        <f t="shared" ref="U104:U135" si="56">N104-R104</f>
        <v>#VALUE!</v>
      </c>
      <c r="V104" s="72" t="e">
        <f t="shared" ref="V104:V135" si="57">IF(OR(T104="",T104&lt;=0),"",U104/T104)</f>
        <v>#VALUE!</v>
      </c>
      <c r="W104" s="72" t="e">
        <f t="shared" ref="W104:W135" si="58">IF(T104&lt;=0,"",IF(P104+J104=0,999999,T104/(P104+J104)))</f>
        <v>#VALUE!</v>
      </c>
      <c r="X104" s="57" t="e">
        <f t="shared" ref="X104:X135" si="59">IF(OR(V104="",W104=""),"",IF(AND(V104&lt;=5.5,W104&gt;=1.2),"ATITINKA","NEATITINKA"))</f>
        <v>#VALUE!</v>
      </c>
      <c r="Y104" s="57" t="e">
        <f t="shared" ref="Y104:Y135" si="60">IF(X104&lt;&gt;"NEATITINKA","",IF(T104&lt;=0,"EBITDA ≤ 0",IF(AND(V104&gt;5.5,W104&lt;1.2),"Abu",IF(V104&gt;5.5,"Net Debt / EBITDA","DSCR"))))</f>
        <v>#VALUE!</v>
      </c>
      <c r="Z104" s="57"/>
      <c r="AA104" s="57"/>
      <c r="AB104" s="57"/>
      <c r="AC104" s="57"/>
      <c r="AD104" s="57"/>
      <c r="AE104" s="57"/>
      <c r="AF104" s="57"/>
      <c r="AG104" s="57"/>
      <c r="AH104" s="57"/>
      <c r="AI104" s="57"/>
      <c r="AJ104" s="57"/>
      <c r="AK104" s="57"/>
      <c r="AL104" s="57"/>
      <c r="AM104" s="57"/>
      <c r="AN104" s="57"/>
      <c r="AO104" s="57"/>
      <c r="AP104" s="57"/>
      <c r="AQ104" s="57"/>
      <c r="AR104" s="57"/>
      <c r="AS104" s="57"/>
    </row>
    <row r="105" spans="1:45">
      <c r="A105" s="57">
        <v>7</v>
      </c>
      <c r="B105" s="57">
        <v>2031</v>
      </c>
      <c r="C105" s="62">
        <f>SUM('4. Metinis CAPEX'!K$9:K$15)</f>
        <v>0</v>
      </c>
      <c r="D105" s="62" cm="1">
        <f t="array" ref="D105">SUMPRODUCT('4. Metinis CAPEX'!K$9:K$15,IFERROR('2. Investicijos'!$N$5:$N$11/'2. Investicijos'!$H$5:$H$11,0))</f>
        <v>0</v>
      </c>
      <c r="E105" s="62" cm="1">
        <f t="array" ref="E105">SUMPRODUCT('4. Metinis CAPEX'!K$9:K$15,IFERROR(('2. Investicijos'!$I$5:$I$11+'2. Investicijos'!$J$5:$J$11+'2. Investicijos'!$K$5:$K$11+'2. Investicijos'!$L$5:$L$11)/'2. Investicijos'!$H$5:$H$11,0))</f>
        <v>0</v>
      </c>
      <c r="F105" s="62" cm="1">
        <f t="array" ref="F105">SUM('2. Investicijos'!$H$5:$H$11*'7. Pasirinktinis scenarijus'!$C$6)</f>
        <v>0</v>
      </c>
      <c r="G105" s="62" cm="1">
        <f t="array" ref="G105">IF(AND(2031&gt;=2026,2031&lt;2026+'7. Pasirinktinis scenarijus'!$C$5),SUM('2. Investicijos'!$H$5:$H$11*'7. Pasirinktinis scenarijus'!$C$6)/'7. Pasirinktinis scenarijus'!$C$5,0)</f>
        <v>0</v>
      </c>
      <c r="H105" s="62">
        <f t="shared" si="54"/>
        <v>0</v>
      </c>
      <c r="I105" s="62">
        <f>SUM(K$5:K$11)</f>
        <v>0</v>
      </c>
      <c r="J105" s="62" t="e" cm="1">
        <f t="array" ref="J105">K105+L105+MAX(0,-R104)*IFERROR(SUMPRODUCT(IF('2. Investicijos'!$N$5:$N$11&gt;('2. Investicijos'!$H$5:$H$11*'7. Pasirinktinis scenarijus'!$C$6),'2. Investicijos'!$N$5:$N$11-('2. Investicijos'!$H$5:$H$11*'7. Pasirinktinis scenarijus'!$C$6),0),'2. Investicijos'!$O$5:$O$11/100)/SUM(IF('2. Investicijos'!$N$5:$N$11&gt;('2. Investicijos'!$H$5:$H$11*'7. Pasirinktinis scenarijus'!$C$6),'2. Investicijos'!$N$5:$N$11-('2. Investicijos'!$H$5:$H$11*'7. Pasirinktinis scenarijus'!$C$6),0)),0)</f>
        <v>#VALUE!</v>
      </c>
      <c r="K105" s="62">
        <f>SUM(AE$5:AE$11)</f>
        <v>0</v>
      </c>
      <c r="L105" s="62">
        <f>SUM(U$5:U$11)</f>
        <v>0</v>
      </c>
      <c r="M105" s="62">
        <f>SUM(AO$5:AO$11)</f>
        <v>0</v>
      </c>
      <c r="N105" s="62">
        <f>'3. Finansinės prielaidos'!H30+M105</f>
        <v>0</v>
      </c>
      <c r="O105" s="62">
        <f>'3. Finansinės prielaidos'!H31</f>
        <v>0</v>
      </c>
      <c r="P105" s="62">
        <f>'3. Finansinės prielaidos'!H32</f>
        <v>0</v>
      </c>
      <c r="Q105" s="62" t="e">
        <f t="shared" si="55"/>
        <v>#VALUE!</v>
      </c>
      <c r="R105" s="62" t="e">
        <f>R104+('3. Finansinės prielaidos'!H31-'3. Finansinės prielaidos'!G31)+Q105</f>
        <v>#VALUE!</v>
      </c>
      <c r="S105" s="62" t="e" cm="1">
        <f t="array" ref="S105">SUMPRODUCT(--(2031&gt;'2. Investicijos'!$F$5:$F$11),--(2031&lt;='2. Investicijos'!$F$5:$F$11+'2. Investicijos'!$G$5:$G$11),IFERROR(('2. Investicijos'!$M$5:$M$11+IF('2. Investicijos'!$N$5:$N$11&gt;('2. Investicijos'!$H$5:$H$11*'7. Pasirinktinis scenarijus'!$C$6),'2. Investicijos'!$N$5:$N$11-('2. Investicijos'!$H$5:$H$11*'7. Pasirinktinis scenarijus'!$C$6),0)+('2. Investicijos'!$H$5:$H$11*'7. Pasirinktinis scenarijus'!$C$6))/'2. Investicijos'!$G$5:$G$11,0))+SUMPRODUCT(--(2031&gt;'2. Investicijos'!$F$5:$F$11),--(2031&lt;='2. Investicijos'!$F$5:$F$11+'2. Investicijos'!$G$5:$G$11),IFERROR(('2. Investicijos'!$M$5:$M$11+IF('2. Investicijos'!$N$5:$N$11&gt;('2. Investicijos'!$H$5:$H$11*'7. Pasirinktinis scenarijus'!$C$6),'2. Investicijos'!$N$5:$N$11-('2. Investicijos'!$H$5:$H$11*'7. Pasirinktinis scenarijus'!$C$6),0))*(1-((2031-'2. Investicijos'!$F$5:$F$11)-1)/'2. Investicijos'!$G$5:$G$11),0)*'5. 0% scenarijus'!$C$5)</f>
        <v>#VALUE!</v>
      </c>
      <c r="T105" s="62" t="e">
        <f>'3. Finansinės prielaidos'!H29+S105+G105</f>
        <v>#VALUE!</v>
      </c>
      <c r="U105" s="62" t="e">
        <f t="shared" si="56"/>
        <v>#VALUE!</v>
      </c>
      <c r="V105" s="72" t="e">
        <f t="shared" si="57"/>
        <v>#VALUE!</v>
      </c>
      <c r="W105" s="72" t="e">
        <f t="shared" si="58"/>
        <v>#VALUE!</v>
      </c>
      <c r="X105" s="57" t="e">
        <f t="shared" si="59"/>
        <v>#VALUE!</v>
      </c>
      <c r="Y105" s="57" t="e">
        <f t="shared" si="60"/>
        <v>#VALUE!</v>
      </c>
      <c r="Z105" s="57"/>
      <c r="AA105" s="57"/>
      <c r="AB105" s="57"/>
      <c r="AC105" s="57"/>
      <c r="AD105" s="57"/>
      <c r="AE105" s="57"/>
      <c r="AF105" s="57"/>
      <c r="AG105" s="57"/>
      <c r="AH105" s="57"/>
      <c r="AI105" s="57"/>
      <c r="AJ105" s="57"/>
      <c r="AK105" s="57"/>
      <c r="AL105" s="57"/>
      <c r="AM105" s="57"/>
      <c r="AN105" s="57"/>
      <c r="AO105" s="57"/>
      <c r="AP105" s="57"/>
      <c r="AQ105" s="57"/>
      <c r="AR105" s="57"/>
      <c r="AS105" s="57"/>
    </row>
    <row r="106" spans="1:45">
      <c r="A106" s="57">
        <v>7</v>
      </c>
      <c r="B106" s="57">
        <v>2032</v>
      </c>
      <c r="C106" s="62">
        <f>SUM('4. Metinis CAPEX'!L$9:L$15)</f>
        <v>0</v>
      </c>
      <c r="D106" s="62" cm="1">
        <f t="array" ref="D106">SUMPRODUCT('4. Metinis CAPEX'!L$9:L$15,IFERROR('2. Investicijos'!$N$5:$N$11/'2. Investicijos'!$H$5:$H$11,0))</f>
        <v>0</v>
      </c>
      <c r="E106" s="62" cm="1">
        <f t="array" ref="E106">SUMPRODUCT('4. Metinis CAPEX'!L$9:L$15,IFERROR(('2. Investicijos'!$I$5:$I$11+'2. Investicijos'!$J$5:$J$11+'2. Investicijos'!$K$5:$K$11+'2. Investicijos'!$L$5:$L$11)/'2. Investicijos'!$H$5:$H$11,0))</f>
        <v>0</v>
      </c>
      <c r="F106" s="62" cm="1">
        <f t="array" ref="F106">SUM('2. Investicijos'!$H$5:$H$11*'7. Pasirinktinis scenarijus'!$C$6)</f>
        <v>0</v>
      </c>
      <c r="G106" s="62" cm="1">
        <f t="array" ref="G106">IF(AND(2032&gt;=2026,2032&lt;2026+'7. Pasirinktinis scenarijus'!$C$5),SUM('2. Investicijos'!$H$5:$H$11*'7. Pasirinktinis scenarijus'!$C$6)/'7. Pasirinktinis scenarijus'!$C$5,0)</f>
        <v>0</v>
      </c>
      <c r="H106" s="62">
        <f t="shared" si="54"/>
        <v>0</v>
      </c>
      <c r="I106" s="62">
        <f>SUM(L$5:L$11)</f>
        <v>0</v>
      </c>
      <c r="J106" s="62" t="e" cm="1">
        <f t="array" ref="J106">K106+L106+MAX(0,-R105)*IFERROR(SUMPRODUCT(IF('2. Investicijos'!$N$5:$N$11&gt;('2. Investicijos'!$H$5:$H$11*'7. Pasirinktinis scenarijus'!$C$6),'2. Investicijos'!$N$5:$N$11-('2. Investicijos'!$H$5:$H$11*'7. Pasirinktinis scenarijus'!$C$6),0),'2. Investicijos'!$O$5:$O$11/100)/SUM(IF('2. Investicijos'!$N$5:$N$11&gt;('2. Investicijos'!$H$5:$H$11*'7. Pasirinktinis scenarijus'!$C$6),'2. Investicijos'!$N$5:$N$11-('2. Investicijos'!$H$5:$H$11*'7. Pasirinktinis scenarijus'!$C$6),0)),0)</f>
        <v>#VALUE!</v>
      </c>
      <c r="K106" s="62">
        <f>SUM(AF$5:AF$11)</f>
        <v>0</v>
      </c>
      <c r="L106" s="62">
        <f>SUM(V$5:V$11)</f>
        <v>0</v>
      </c>
      <c r="M106" s="62">
        <f>SUM(AP$5:AP$11)</f>
        <v>0</v>
      </c>
      <c r="N106" s="62">
        <f>'3. Finansinės prielaidos'!I30+M106</f>
        <v>0</v>
      </c>
      <c r="O106" s="62">
        <f>'3. Finansinės prielaidos'!I31</f>
        <v>0</v>
      </c>
      <c r="P106" s="62">
        <f>'3. Finansinės prielaidos'!I32</f>
        <v>0</v>
      </c>
      <c r="Q106" s="62" t="e">
        <f t="shared" si="55"/>
        <v>#VALUE!</v>
      </c>
      <c r="R106" s="62" t="e">
        <f>R105+('3. Finansinės prielaidos'!I31-'3. Finansinės prielaidos'!H31)+Q106</f>
        <v>#VALUE!</v>
      </c>
      <c r="S106" s="62" t="e" cm="1">
        <f t="array" ref="S106">SUMPRODUCT(--(2032&gt;'2. Investicijos'!$F$5:$F$11),--(2032&lt;='2. Investicijos'!$F$5:$F$11+'2. Investicijos'!$G$5:$G$11),IFERROR(('2. Investicijos'!$M$5:$M$11+IF('2. Investicijos'!$N$5:$N$11&gt;('2. Investicijos'!$H$5:$H$11*'7. Pasirinktinis scenarijus'!$C$6),'2. Investicijos'!$N$5:$N$11-('2. Investicijos'!$H$5:$H$11*'7. Pasirinktinis scenarijus'!$C$6),0)+('2. Investicijos'!$H$5:$H$11*'7. Pasirinktinis scenarijus'!$C$6))/'2. Investicijos'!$G$5:$G$11,0))+SUMPRODUCT(--(2032&gt;'2. Investicijos'!$F$5:$F$11),--(2032&lt;='2. Investicijos'!$F$5:$F$11+'2. Investicijos'!$G$5:$G$11),IFERROR(('2. Investicijos'!$M$5:$M$11+IF('2. Investicijos'!$N$5:$N$11&gt;('2. Investicijos'!$H$5:$H$11*'7. Pasirinktinis scenarijus'!$C$6),'2. Investicijos'!$N$5:$N$11-('2. Investicijos'!$H$5:$H$11*'7. Pasirinktinis scenarijus'!$C$6),0))*(1-((2032-'2. Investicijos'!$F$5:$F$11)-1)/'2. Investicijos'!$G$5:$G$11),0)*'5. 0% scenarijus'!$C$5)</f>
        <v>#VALUE!</v>
      </c>
      <c r="T106" s="62" t="e">
        <f>'3. Finansinės prielaidos'!I29+S106+G106</f>
        <v>#VALUE!</v>
      </c>
      <c r="U106" s="62" t="e">
        <f t="shared" si="56"/>
        <v>#VALUE!</v>
      </c>
      <c r="V106" s="72" t="e">
        <f t="shared" si="57"/>
        <v>#VALUE!</v>
      </c>
      <c r="W106" s="72" t="e">
        <f t="shared" si="58"/>
        <v>#VALUE!</v>
      </c>
      <c r="X106" s="57" t="e">
        <f t="shared" si="59"/>
        <v>#VALUE!</v>
      </c>
      <c r="Y106" s="57" t="e">
        <f t="shared" si="60"/>
        <v>#VALUE!</v>
      </c>
      <c r="Z106" s="57"/>
      <c r="AA106" s="57"/>
      <c r="AB106" s="57"/>
      <c r="AC106" s="57"/>
      <c r="AD106" s="57"/>
      <c r="AE106" s="57"/>
      <c r="AF106" s="57"/>
      <c r="AG106" s="57"/>
      <c r="AH106" s="57"/>
      <c r="AI106" s="57"/>
      <c r="AJ106" s="57"/>
      <c r="AK106" s="57"/>
      <c r="AL106" s="57"/>
      <c r="AM106" s="57"/>
      <c r="AN106" s="57"/>
      <c r="AO106" s="57"/>
      <c r="AP106" s="57"/>
      <c r="AQ106" s="57"/>
      <c r="AR106" s="57"/>
      <c r="AS106" s="57"/>
    </row>
    <row r="107" spans="1:45">
      <c r="A107" s="57">
        <v>7</v>
      </c>
      <c r="B107" s="57">
        <v>2033</v>
      </c>
      <c r="C107" s="62">
        <f>SUM('4. Metinis CAPEX'!M$9:M$15)</f>
        <v>0</v>
      </c>
      <c r="D107" s="62" cm="1">
        <f t="array" ref="D107">SUMPRODUCT('4. Metinis CAPEX'!M$9:M$15,IFERROR('2. Investicijos'!$N$5:$N$11/'2. Investicijos'!$H$5:$H$11,0))</f>
        <v>0</v>
      </c>
      <c r="E107" s="62" cm="1">
        <f t="array" ref="E107">SUMPRODUCT('4. Metinis CAPEX'!M$9:M$15,IFERROR(('2. Investicijos'!$I$5:$I$11+'2. Investicijos'!$J$5:$J$11+'2. Investicijos'!$K$5:$K$11+'2. Investicijos'!$L$5:$L$11)/'2. Investicijos'!$H$5:$H$11,0))</f>
        <v>0</v>
      </c>
      <c r="F107" s="62" cm="1">
        <f t="array" ref="F107">SUM('2. Investicijos'!$H$5:$H$11*'7. Pasirinktinis scenarijus'!$C$6)</f>
        <v>0</v>
      </c>
      <c r="G107" s="62" cm="1">
        <f t="array" ref="G107">IF(AND(2033&gt;=2026,2033&lt;2026+'7. Pasirinktinis scenarijus'!$C$5),SUM('2. Investicijos'!$H$5:$H$11*'7. Pasirinktinis scenarijus'!$C$6)/'7. Pasirinktinis scenarijus'!$C$5,0)</f>
        <v>0</v>
      </c>
      <c r="H107" s="62">
        <f t="shared" si="54"/>
        <v>0</v>
      </c>
      <c r="I107" s="62">
        <f>SUM(M$5:M$11)</f>
        <v>0</v>
      </c>
      <c r="J107" s="62" t="e" cm="1">
        <f t="array" ref="J107">K107+L107+MAX(0,-R106)*IFERROR(SUMPRODUCT(IF('2. Investicijos'!$N$5:$N$11&gt;('2. Investicijos'!$H$5:$H$11*'7. Pasirinktinis scenarijus'!$C$6),'2. Investicijos'!$N$5:$N$11-('2. Investicijos'!$H$5:$H$11*'7. Pasirinktinis scenarijus'!$C$6),0),'2. Investicijos'!$O$5:$O$11/100)/SUM(IF('2. Investicijos'!$N$5:$N$11&gt;('2. Investicijos'!$H$5:$H$11*'7. Pasirinktinis scenarijus'!$C$6),'2. Investicijos'!$N$5:$N$11-('2. Investicijos'!$H$5:$H$11*'7. Pasirinktinis scenarijus'!$C$6),0)),0)</f>
        <v>#VALUE!</v>
      </c>
      <c r="K107" s="62">
        <f>SUM(AG$5:AG$11)</f>
        <v>0</v>
      </c>
      <c r="L107" s="62">
        <f>SUM(W$5:W$11)</f>
        <v>0</v>
      </c>
      <c r="M107" s="62">
        <f>SUM(AQ$5:AQ$11)</f>
        <v>0</v>
      </c>
      <c r="N107" s="62">
        <f>'3. Finansinės prielaidos'!J30+M107</f>
        <v>0</v>
      </c>
      <c r="O107" s="62">
        <f>'3. Finansinės prielaidos'!J31</f>
        <v>0</v>
      </c>
      <c r="P107" s="62">
        <f>'3. Finansinės prielaidos'!J32</f>
        <v>0</v>
      </c>
      <c r="Q107" s="62" t="e">
        <f t="shared" si="55"/>
        <v>#VALUE!</v>
      </c>
      <c r="R107" s="62" t="e">
        <f>R106+('3. Finansinės prielaidos'!J31-'3. Finansinės prielaidos'!I31)+Q107</f>
        <v>#VALUE!</v>
      </c>
      <c r="S107" s="62" t="e" cm="1">
        <f t="array" ref="S107">SUMPRODUCT(--(2033&gt;'2. Investicijos'!$F$5:$F$11),--(2033&lt;='2. Investicijos'!$F$5:$F$11+'2. Investicijos'!$G$5:$G$11),IFERROR(('2. Investicijos'!$M$5:$M$11+IF('2. Investicijos'!$N$5:$N$11&gt;('2. Investicijos'!$H$5:$H$11*'7. Pasirinktinis scenarijus'!$C$6),'2. Investicijos'!$N$5:$N$11-('2. Investicijos'!$H$5:$H$11*'7. Pasirinktinis scenarijus'!$C$6),0)+('2. Investicijos'!$H$5:$H$11*'7. Pasirinktinis scenarijus'!$C$6))/'2. Investicijos'!$G$5:$G$11,0))+SUMPRODUCT(--(2033&gt;'2. Investicijos'!$F$5:$F$11),--(2033&lt;='2. Investicijos'!$F$5:$F$11+'2. Investicijos'!$G$5:$G$11),IFERROR(('2. Investicijos'!$M$5:$M$11+IF('2. Investicijos'!$N$5:$N$11&gt;('2. Investicijos'!$H$5:$H$11*'7. Pasirinktinis scenarijus'!$C$6),'2. Investicijos'!$N$5:$N$11-('2. Investicijos'!$H$5:$H$11*'7. Pasirinktinis scenarijus'!$C$6),0))*(1-((2033-'2. Investicijos'!$F$5:$F$11)-1)/'2. Investicijos'!$G$5:$G$11),0)*'5. 0% scenarijus'!$C$5)</f>
        <v>#VALUE!</v>
      </c>
      <c r="T107" s="62" t="e">
        <f>'3. Finansinės prielaidos'!J29+S107+G107</f>
        <v>#VALUE!</v>
      </c>
      <c r="U107" s="62" t="e">
        <f t="shared" si="56"/>
        <v>#VALUE!</v>
      </c>
      <c r="V107" s="72" t="e">
        <f t="shared" si="57"/>
        <v>#VALUE!</v>
      </c>
      <c r="W107" s="72" t="e">
        <f t="shared" si="58"/>
        <v>#VALUE!</v>
      </c>
      <c r="X107" s="57" t="e">
        <f t="shared" si="59"/>
        <v>#VALUE!</v>
      </c>
      <c r="Y107" s="57" t="e">
        <f t="shared" si="60"/>
        <v>#VALUE!</v>
      </c>
      <c r="Z107" s="57"/>
      <c r="AA107" s="57"/>
      <c r="AB107" s="57"/>
      <c r="AC107" s="57"/>
      <c r="AD107" s="57"/>
      <c r="AE107" s="57"/>
      <c r="AF107" s="57"/>
      <c r="AG107" s="57"/>
      <c r="AH107" s="57"/>
      <c r="AI107" s="57"/>
      <c r="AJ107" s="57"/>
      <c r="AK107" s="57"/>
      <c r="AL107" s="57"/>
      <c r="AM107" s="57"/>
      <c r="AN107" s="57"/>
      <c r="AO107" s="57"/>
      <c r="AP107" s="57"/>
      <c r="AQ107" s="57"/>
      <c r="AR107" s="57"/>
      <c r="AS107" s="57"/>
    </row>
    <row r="108" spans="1:45">
      <c r="A108" s="57">
        <v>7</v>
      </c>
      <c r="B108" s="57">
        <v>2034</v>
      </c>
      <c r="C108" s="62">
        <f>SUM('4. Metinis CAPEX'!N$9:N$15)</f>
        <v>0</v>
      </c>
      <c r="D108" s="62" cm="1">
        <f t="array" ref="D108">SUMPRODUCT('4. Metinis CAPEX'!N$9:N$15,IFERROR('2. Investicijos'!$N$5:$N$11/'2. Investicijos'!$H$5:$H$11,0))</f>
        <v>0</v>
      </c>
      <c r="E108" s="62" cm="1">
        <f t="array" ref="E108">SUMPRODUCT('4. Metinis CAPEX'!N$9:N$15,IFERROR(('2. Investicijos'!$I$5:$I$11+'2. Investicijos'!$J$5:$J$11+'2. Investicijos'!$K$5:$K$11+'2. Investicijos'!$L$5:$L$11)/'2. Investicijos'!$H$5:$H$11,0))</f>
        <v>0</v>
      </c>
      <c r="F108" s="62" cm="1">
        <f t="array" ref="F108">SUM('2. Investicijos'!$H$5:$H$11*'7. Pasirinktinis scenarijus'!$C$6)</f>
        <v>0</v>
      </c>
      <c r="G108" s="62" cm="1">
        <f t="array" ref="G108">IF(AND(2034&gt;=2026,2034&lt;2026+'7. Pasirinktinis scenarijus'!$C$5),SUM('2. Investicijos'!$H$5:$H$11*'7. Pasirinktinis scenarijus'!$C$6)/'7. Pasirinktinis scenarijus'!$C$5,0)</f>
        <v>0</v>
      </c>
      <c r="H108" s="62">
        <f t="shared" si="54"/>
        <v>0</v>
      </c>
      <c r="I108" s="62">
        <f>SUM(N$5:N$11)</f>
        <v>0</v>
      </c>
      <c r="J108" s="62" t="e" cm="1">
        <f t="array" ref="J108">K108+L108+MAX(0,-R107)*IFERROR(SUMPRODUCT(IF('2. Investicijos'!$N$5:$N$11&gt;('2. Investicijos'!$H$5:$H$11*'7. Pasirinktinis scenarijus'!$C$6),'2. Investicijos'!$N$5:$N$11-('2. Investicijos'!$H$5:$H$11*'7. Pasirinktinis scenarijus'!$C$6),0),'2. Investicijos'!$O$5:$O$11/100)/SUM(IF('2. Investicijos'!$N$5:$N$11&gt;('2. Investicijos'!$H$5:$H$11*'7. Pasirinktinis scenarijus'!$C$6),'2. Investicijos'!$N$5:$N$11-('2. Investicijos'!$H$5:$H$11*'7. Pasirinktinis scenarijus'!$C$6),0)),0)</f>
        <v>#VALUE!</v>
      </c>
      <c r="K108" s="62">
        <f>SUM(AH$5:AH$11)</f>
        <v>0</v>
      </c>
      <c r="L108" s="62">
        <f>SUM(X$5:X$11)</f>
        <v>0</v>
      </c>
      <c r="M108" s="62">
        <f>SUM(AR$5:AR$11)</f>
        <v>0</v>
      </c>
      <c r="N108" s="62">
        <f>'3. Finansinės prielaidos'!K30+M108</f>
        <v>0</v>
      </c>
      <c r="O108" s="62">
        <f>'3. Finansinės prielaidos'!K31</f>
        <v>0</v>
      </c>
      <c r="P108" s="62">
        <f>'3. Finansinės prielaidos'!K32</f>
        <v>0</v>
      </c>
      <c r="Q108" s="62" t="e">
        <f t="shared" si="55"/>
        <v>#VALUE!</v>
      </c>
      <c r="R108" s="62" t="e">
        <f>R107+('3. Finansinės prielaidos'!K31-'3. Finansinės prielaidos'!J31)+Q108</f>
        <v>#VALUE!</v>
      </c>
      <c r="S108" s="62" t="e" cm="1">
        <f t="array" ref="S108">SUMPRODUCT(--(2034&gt;'2. Investicijos'!$F$5:$F$11),--(2034&lt;='2. Investicijos'!$F$5:$F$11+'2. Investicijos'!$G$5:$G$11),IFERROR(('2. Investicijos'!$M$5:$M$11+IF('2. Investicijos'!$N$5:$N$11&gt;('2. Investicijos'!$H$5:$H$11*'7. Pasirinktinis scenarijus'!$C$6),'2. Investicijos'!$N$5:$N$11-('2. Investicijos'!$H$5:$H$11*'7. Pasirinktinis scenarijus'!$C$6),0)+('2. Investicijos'!$H$5:$H$11*'7. Pasirinktinis scenarijus'!$C$6))/'2. Investicijos'!$G$5:$G$11,0))+SUMPRODUCT(--(2034&gt;'2. Investicijos'!$F$5:$F$11),--(2034&lt;='2. Investicijos'!$F$5:$F$11+'2. Investicijos'!$G$5:$G$11),IFERROR(('2. Investicijos'!$M$5:$M$11+IF('2. Investicijos'!$N$5:$N$11&gt;('2. Investicijos'!$H$5:$H$11*'7. Pasirinktinis scenarijus'!$C$6),'2. Investicijos'!$N$5:$N$11-('2. Investicijos'!$H$5:$H$11*'7. Pasirinktinis scenarijus'!$C$6),0))*(1-((2034-'2. Investicijos'!$F$5:$F$11)-1)/'2. Investicijos'!$G$5:$G$11),0)*'5. 0% scenarijus'!$C$5)</f>
        <v>#VALUE!</v>
      </c>
      <c r="T108" s="62" t="e">
        <f>'3. Finansinės prielaidos'!K29+S108+G108</f>
        <v>#VALUE!</v>
      </c>
      <c r="U108" s="62" t="e">
        <f t="shared" si="56"/>
        <v>#VALUE!</v>
      </c>
      <c r="V108" s="72" t="e">
        <f t="shared" si="57"/>
        <v>#VALUE!</v>
      </c>
      <c r="W108" s="72" t="e">
        <f t="shared" si="58"/>
        <v>#VALUE!</v>
      </c>
      <c r="X108" s="57" t="e">
        <f t="shared" si="59"/>
        <v>#VALUE!</v>
      </c>
      <c r="Y108" s="57" t="e">
        <f t="shared" si="60"/>
        <v>#VALUE!</v>
      </c>
      <c r="Z108" s="57"/>
      <c r="AA108" s="57"/>
      <c r="AB108" s="57"/>
      <c r="AC108" s="57"/>
      <c r="AD108" s="57"/>
      <c r="AE108" s="57"/>
      <c r="AF108" s="57"/>
      <c r="AG108" s="57"/>
      <c r="AH108" s="57"/>
      <c r="AI108" s="57"/>
      <c r="AJ108" s="57"/>
      <c r="AK108" s="57"/>
      <c r="AL108" s="57"/>
      <c r="AM108" s="57"/>
      <c r="AN108" s="57"/>
      <c r="AO108" s="57"/>
      <c r="AP108" s="57"/>
      <c r="AQ108" s="57"/>
      <c r="AR108" s="57"/>
      <c r="AS108" s="57"/>
    </row>
    <row r="109" spans="1:45">
      <c r="A109" s="57">
        <v>7</v>
      </c>
      <c r="B109" s="57">
        <v>2035</v>
      </c>
      <c r="C109" s="62">
        <f>SUM('4. Metinis CAPEX'!O$9:O$15)</f>
        <v>0</v>
      </c>
      <c r="D109" s="62" cm="1">
        <f t="array" ref="D109">SUMPRODUCT('4. Metinis CAPEX'!O$9:O$15,IFERROR('2. Investicijos'!$N$5:$N$11/'2. Investicijos'!$H$5:$H$11,0))</f>
        <v>0</v>
      </c>
      <c r="E109" s="62" cm="1">
        <f t="array" ref="E109">SUMPRODUCT('4. Metinis CAPEX'!O$9:O$15,IFERROR(('2. Investicijos'!$I$5:$I$11+'2. Investicijos'!$J$5:$J$11+'2. Investicijos'!$K$5:$K$11+'2. Investicijos'!$L$5:$L$11)/'2. Investicijos'!$H$5:$H$11,0))</f>
        <v>0</v>
      </c>
      <c r="F109" s="62" cm="1">
        <f t="array" ref="F109">SUM('2. Investicijos'!$H$5:$H$11*'7. Pasirinktinis scenarijus'!$C$6)</f>
        <v>0</v>
      </c>
      <c r="G109" s="62" cm="1">
        <f t="array" ref="G109">IF(AND(2035&gt;=2026,2035&lt;2026+'7. Pasirinktinis scenarijus'!$C$5),SUM('2. Investicijos'!$H$5:$H$11*'7. Pasirinktinis scenarijus'!$C$6)/'7. Pasirinktinis scenarijus'!$C$5,0)</f>
        <v>0</v>
      </c>
      <c r="H109" s="62">
        <f t="shared" si="54"/>
        <v>0</v>
      </c>
      <c r="I109" s="62">
        <f>SUM(O$5:O$11)</f>
        <v>0</v>
      </c>
      <c r="J109" s="62" t="e" cm="1">
        <f t="array" ref="J109">K109+L109+MAX(0,-R108)*IFERROR(SUMPRODUCT(IF('2. Investicijos'!$N$5:$N$11&gt;('2. Investicijos'!$H$5:$H$11*'7. Pasirinktinis scenarijus'!$C$6),'2. Investicijos'!$N$5:$N$11-('2. Investicijos'!$H$5:$H$11*'7. Pasirinktinis scenarijus'!$C$6),0),'2. Investicijos'!$O$5:$O$11/100)/SUM(IF('2. Investicijos'!$N$5:$N$11&gt;('2. Investicijos'!$H$5:$H$11*'7. Pasirinktinis scenarijus'!$C$6),'2. Investicijos'!$N$5:$N$11-('2. Investicijos'!$H$5:$H$11*'7. Pasirinktinis scenarijus'!$C$6),0)),0)</f>
        <v>#VALUE!</v>
      </c>
      <c r="K109" s="62">
        <f>SUM(AI$5:AI$11)</f>
        <v>0</v>
      </c>
      <c r="L109" s="62">
        <f>SUM(Y$5:Y$11)</f>
        <v>0</v>
      </c>
      <c r="M109" s="62">
        <f>SUM(AS$5:AS$11)</f>
        <v>0</v>
      </c>
      <c r="N109" s="62">
        <f>'3. Finansinės prielaidos'!L30+M109</f>
        <v>0</v>
      </c>
      <c r="O109" s="62">
        <f>'3. Finansinės prielaidos'!L31</f>
        <v>0</v>
      </c>
      <c r="P109" s="62">
        <f>'3. Finansinės prielaidos'!L32</f>
        <v>0</v>
      </c>
      <c r="Q109" s="62" t="e">
        <f t="shared" si="55"/>
        <v>#VALUE!</v>
      </c>
      <c r="R109" s="62" t="e">
        <f>R108+('3. Finansinės prielaidos'!L31-'3. Finansinės prielaidos'!K31)+Q109</f>
        <v>#VALUE!</v>
      </c>
      <c r="S109" s="62" t="e" cm="1">
        <f t="array" ref="S109">SUMPRODUCT(--(2035&gt;'2. Investicijos'!$F$5:$F$11),--(2035&lt;='2. Investicijos'!$F$5:$F$11+'2. Investicijos'!$G$5:$G$11),IFERROR(('2. Investicijos'!$M$5:$M$11+IF('2. Investicijos'!$N$5:$N$11&gt;('2. Investicijos'!$H$5:$H$11*'7. Pasirinktinis scenarijus'!$C$6),'2. Investicijos'!$N$5:$N$11-('2. Investicijos'!$H$5:$H$11*'7. Pasirinktinis scenarijus'!$C$6),0)+('2. Investicijos'!$H$5:$H$11*'7. Pasirinktinis scenarijus'!$C$6))/'2. Investicijos'!$G$5:$G$11,0))+SUMPRODUCT(--(2035&gt;'2. Investicijos'!$F$5:$F$11),--(2035&lt;='2. Investicijos'!$F$5:$F$11+'2. Investicijos'!$G$5:$G$11),IFERROR(('2. Investicijos'!$M$5:$M$11+IF('2. Investicijos'!$N$5:$N$11&gt;('2. Investicijos'!$H$5:$H$11*'7. Pasirinktinis scenarijus'!$C$6),'2. Investicijos'!$N$5:$N$11-('2. Investicijos'!$H$5:$H$11*'7. Pasirinktinis scenarijus'!$C$6),0))*(1-((2035-'2. Investicijos'!$F$5:$F$11)-1)/'2. Investicijos'!$G$5:$G$11),0)*'5. 0% scenarijus'!$C$5)</f>
        <v>#VALUE!</v>
      </c>
      <c r="T109" s="62" t="e">
        <f>'3. Finansinės prielaidos'!L29+S109+G109</f>
        <v>#VALUE!</v>
      </c>
      <c r="U109" s="62" t="e">
        <f t="shared" si="56"/>
        <v>#VALUE!</v>
      </c>
      <c r="V109" s="72" t="e">
        <f t="shared" si="57"/>
        <v>#VALUE!</v>
      </c>
      <c r="W109" s="72" t="e">
        <f t="shared" si="58"/>
        <v>#VALUE!</v>
      </c>
      <c r="X109" s="57" t="e">
        <f t="shared" si="59"/>
        <v>#VALUE!</v>
      </c>
      <c r="Y109" s="57" t="e">
        <f t="shared" si="60"/>
        <v>#VALUE!</v>
      </c>
      <c r="Z109" s="57"/>
      <c r="AA109" s="57"/>
      <c r="AB109" s="57"/>
      <c r="AC109" s="57"/>
      <c r="AD109" s="57"/>
      <c r="AE109" s="57"/>
      <c r="AF109" s="57"/>
      <c r="AG109" s="57"/>
      <c r="AH109" s="57"/>
      <c r="AI109" s="57"/>
      <c r="AJ109" s="57"/>
      <c r="AK109" s="57"/>
      <c r="AL109" s="57"/>
      <c r="AM109" s="57"/>
      <c r="AN109" s="57"/>
      <c r="AO109" s="57"/>
      <c r="AP109" s="57"/>
      <c r="AQ109" s="57"/>
      <c r="AR109" s="57"/>
      <c r="AS109" s="57"/>
    </row>
    <row r="110" spans="1:45">
      <c r="A110" s="57">
        <v>8</v>
      </c>
      <c r="B110" s="57">
        <v>2026</v>
      </c>
      <c r="C110" s="62">
        <f>SUM('4. Metinis CAPEX'!F$9:F$16)</f>
        <v>0</v>
      </c>
      <c r="D110" s="62" cm="1">
        <f t="array" ref="D110">SUMPRODUCT('4. Metinis CAPEX'!F$9:F$16,IFERROR('2. Investicijos'!$N$5:$N$12/'2. Investicijos'!$H$5:$H$12,0))</f>
        <v>0</v>
      </c>
      <c r="E110" s="62" cm="1">
        <f t="array" ref="E110">SUMPRODUCT('4. Metinis CAPEX'!F$9:F$16,IFERROR(('2. Investicijos'!$I$5:$I$12+'2. Investicijos'!$J$5:$J$12+'2. Investicijos'!$K$5:$K$12+'2. Investicijos'!$L$5:$L$12)/'2. Investicijos'!$H$5:$H$12,0))</f>
        <v>0</v>
      </c>
      <c r="F110" s="62" cm="1">
        <f t="array" ref="F110">SUM('2. Investicijos'!$H$5:$H$12*'7. Pasirinktinis scenarijus'!$C$6)</f>
        <v>0</v>
      </c>
      <c r="G110" s="62" cm="1">
        <f t="array" ref="G110">IF(AND(2026&gt;=2026,2026&lt;2026+'7. Pasirinktinis scenarijus'!$C$5),SUM('2. Investicijos'!$H$5:$H$12*'7. Pasirinktinis scenarijus'!$C$6)/'7. Pasirinktinis scenarijus'!$C$5,0)</f>
        <v>0</v>
      </c>
      <c r="H110" s="62">
        <f t="shared" si="54"/>
        <v>0</v>
      </c>
      <c r="I110" s="62">
        <f>SUM(F$5:F$12)</f>
        <v>0</v>
      </c>
      <c r="J110" s="62">
        <f>0</f>
        <v>0</v>
      </c>
      <c r="K110" s="62">
        <f>SUM(Z$5:Z$12)</f>
        <v>0</v>
      </c>
      <c r="L110" s="62">
        <f>SUM(P$5:P$12)</f>
        <v>0</v>
      </c>
      <c r="M110" s="62">
        <f>SUM(AJ$5:AJ$12)</f>
        <v>0</v>
      </c>
      <c r="N110" s="62">
        <f>'3. Finansinės prielaidos'!C30+M110</f>
        <v>0</v>
      </c>
      <c r="O110" s="62">
        <f>'3. Finansinės prielaidos'!C31</f>
        <v>0</v>
      </c>
      <c r="P110" s="62">
        <f>'3. Finansinės prielaidos'!C32</f>
        <v>0</v>
      </c>
      <c r="Q110" s="62" t="e">
        <f t="shared" si="55"/>
        <v>#VALUE!</v>
      </c>
      <c r="R110" s="62" t="e">
        <f>O110+Q110</f>
        <v>#VALUE!</v>
      </c>
      <c r="S110" s="62" t="e" cm="1">
        <f t="array" ref="S110">SUMPRODUCT(--(2026&gt;'2. Investicijos'!$F$5:$F$12),--(2026&lt;='2. Investicijos'!$F$5:$F$12+'2. Investicijos'!$G$5:$G$12),IFERROR(('2. Investicijos'!$M$5:$M$12+IF('2. Investicijos'!$N$5:$N$12&gt;('2. Investicijos'!$H$5:$H$12*'7. Pasirinktinis scenarijus'!$C$6),'2. Investicijos'!$N$5:$N$12-('2. Investicijos'!$H$5:$H$12*'7. Pasirinktinis scenarijus'!$C$6),0)+('2. Investicijos'!$H$5:$H$12*'7. Pasirinktinis scenarijus'!$C$6))/'2. Investicijos'!$G$5:$G$12,0))+SUMPRODUCT(--(2026&gt;'2. Investicijos'!$F$5:$F$12),--(2026&lt;='2. Investicijos'!$F$5:$F$12+'2. Investicijos'!$G$5:$G$12),IFERROR(('2. Investicijos'!$M$5:$M$12+IF('2. Investicijos'!$N$5:$N$12&gt;('2. Investicijos'!$H$5:$H$12*'7. Pasirinktinis scenarijus'!$C$6),'2. Investicijos'!$N$5:$N$12-('2. Investicijos'!$H$5:$H$12*'7. Pasirinktinis scenarijus'!$C$6),0))*(1-((2026-'2. Investicijos'!$F$5:$F$12)-1)/'2. Investicijos'!$G$5:$G$12),0)*'5. 0% scenarijus'!$C$5)</f>
        <v>#VALUE!</v>
      </c>
      <c r="T110" s="62" t="e">
        <f>'3. Finansinės prielaidos'!C29+S110+G110</f>
        <v>#VALUE!</v>
      </c>
      <c r="U110" s="62" t="e">
        <f t="shared" si="56"/>
        <v>#VALUE!</v>
      </c>
      <c r="V110" s="72" t="e">
        <f t="shared" si="57"/>
        <v>#VALUE!</v>
      </c>
      <c r="W110" s="72" t="e">
        <f t="shared" si="58"/>
        <v>#VALUE!</v>
      </c>
      <c r="X110" s="57" t="e">
        <f t="shared" si="59"/>
        <v>#VALUE!</v>
      </c>
      <c r="Y110" s="57" t="e">
        <f t="shared" si="60"/>
        <v>#VALUE!</v>
      </c>
      <c r="Z110" s="57"/>
      <c r="AA110" s="57"/>
      <c r="AB110" s="57"/>
      <c r="AC110" s="57"/>
      <c r="AD110" s="57"/>
      <c r="AE110" s="57"/>
      <c r="AF110" s="57"/>
      <c r="AG110" s="57"/>
      <c r="AH110" s="57"/>
      <c r="AI110" s="57"/>
      <c r="AJ110" s="57"/>
      <c r="AK110" s="57"/>
      <c r="AL110" s="57"/>
      <c r="AM110" s="57"/>
      <c r="AN110" s="57"/>
      <c r="AO110" s="57"/>
      <c r="AP110" s="57"/>
      <c r="AQ110" s="57"/>
      <c r="AR110" s="57"/>
      <c r="AS110" s="57"/>
    </row>
    <row r="111" spans="1:45">
      <c r="A111" s="57">
        <v>8</v>
      </c>
      <c r="B111" s="57">
        <v>2027</v>
      </c>
      <c r="C111" s="62">
        <f>SUM('4. Metinis CAPEX'!G$9:G$16)</f>
        <v>0</v>
      </c>
      <c r="D111" s="62" cm="1">
        <f t="array" ref="D111">SUMPRODUCT('4. Metinis CAPEX'!G$9:G$16,IFERROR('2. Investicijos'!$N$5:$N$12/'2. Investicijos'!$H$5:$H$12,0))</f>
        <v>0</v>
      </c>
      <c r="E111" s="62" cm="1">
        <f t="array" ref="E111">SUMPRODUCT('4. Metinis CAPEX'!G$9:G$16,IFERROR(('2. Investicijos'!$I$5:$I$12+'2. Investicijos'!$J$5:$J$12+'2. Investicijos'!$K$5:$K$12+'2. Investicijos'!$L$5:$L$12)/'2. Investicijos'!$H$5:$H$12,0))</f>
        <v>0</v>
      </c>
      <c r="F111" s="62" cm="1">
        <f t="array" ref="F111">SUM('2. Investicijos'!$H$5:$H$12*'7. Pasirinktinis scenarijus'!$C$6)</f>
        <v>0</v>
      </c>
      <c r="G111" s="62" cm="1">
        <f t="array" ref="G111">IF(AND(2027&gt;=2026,2027&lt;2026+'7. Pasirinktinis scenarijus'!$C$5),SUM('2. Investicijos'!$H$5:$H$12*'7. Pasirinktinis scenarijus'!$C$6)/'7. Pasirinktinis scenarijus'!$C$5,0)</f>
        <v>0</v>
      </c>
      <c r="H111" s="62">
        <f t="shared" si="54"/>
        <v>0</v>
      </c>
      <c r="I111" s="62">
        <f>SUM(G$5:G$12)</f>
        <v>0</v>
      </c>
      <c r="J111" s="62" t="e" cm="1">
        <f t="array" ref="J111">K111+L111+MAX(0,-R110)*IFERROR(SUMPRODUCT(IF('2. Investicijos'!$N$5:$N$12&gt;('2. Investicijos'!$H$5:$H$12*'7. Pasirinktinis scenarijus'!$C$6),'2. Investicijos'!$N$5:$N$12-('2. Investicijos'!$H$5:$H$12*'7. Pasirinktinis scenarijus'!$C$6),0),'2. Investicijos'!$O$5:$O$12/100)/SUM(IF('2. Investicijos'!$N$5:$N$12&gt;('2. Investicijos'!$H$5:$H$12*'7. Pasirinktinis scenarijus'!$C$6),'2. Investicijos'!$N$5:$N$12-('2. Investicijos'!$H$5:$H$12*'7. Pasirinktinis scenarijus'!$C$6),0)),0)</f>
        <v>#VALUE!</v>
      </c>
      <c r="K111" s="62">
        <f>SUM(AA$5:AA$12)</f>
        <v>0</v>
      </c>
      <c r="L111" s="62">
        <f>SUM(Q$5:Q$12)</f>
        <v>0</v>
      </c>
      <c r="M111" s="62">
        <f>SUM(AK$5:AK$12)</f>
        <v>0</v>
      </c>
      <c r="N111" s="62">
        <f>'3. Finansinės prielaidos'!D30+M111</f>
        <v>0</v>
      </c>
      <c r="O111" s="62">
        <f>'3. Finansinės prielaidos'!D31</f>
        <v>0</v>
      </c>
      <c r="P111" s="62">
        <f>'3. Finansinės prielaidos'!D32</f>
        <v>0</v>
      </c>
      <c r="Q111" s="62" t="e">
        <f t="shared" si="55"/>
        <v>#VALUE!</v>
      </c>
      <c r="R111" s="62" t="e">
        <f>R110+('3. Finansinės prielaidos'!D31-'3. Finansinės prielaidos'!C31)+Q111</f>
        <v>#VALUE!</v>
      </c>
      <c r="S111" s="62" t="e" cm="1">
        <f t="array" ref="S111">SUMPRODUCT(--(2027&gt;'2. Investicijos'!$F$5:$F$12),--(2027&lt;='2. Investicijos'!$F$5:$F$12+'2. Investicijos'!$G$5:$G$12),IFERROR(('2. Investicijos'!$M$5:$M$12+IF('2. Investicijos'!$N$5:$N$12&gt;('2. Investicijos'!$H$5:$H$12*'7. Pasirinktinis scenarijus'!$C$6),'2. Investicijos'!$N$5:$N$12-('2. Investicijos'!$H$5:$H$12*'7. Pasirinktinis scenarijus'!$C$6),0)+('2. Investicijos'!$H$5:$H$12*'7. Pasirinktinis scenarijus'!$C$6))/'2. Investicijos'!$G$5:$G$12,0))+SUMPRODUCT(--(2027&gt;'2. Investicijos'!$F$5:$F$12),--(2027&lt;='2. Investicijos'!$F$5:$F$12+'2. Investicijos'!$G$5:$G$12),IFERROR(('2. Investicijos'!$M$5:$M$12+IF('2. Investicijos'!$N$5:$N$12&gt;('2. Investicijos'!$H$5:$H$12*'7. Pasirinktinis scenarijus'!$C$6),'2. Investicijos'!$N$5:$N$12-('2. Investicijos'!$H$5:$H$12*'7. Pasirinktinis scenarijus'!$C$6),0))*(1-((2027-'2. Investicijos'!$F$5:$F$12)-1)/'2. Investicijos'!$G$5:$G$12),0)*'5. 0% scenarijus'!$C$5)</f>
        <v>#VALUE!</v>
      </c>
      <c r="T111" s="62" t="e">
        <f>'3. Finansinės prielaidos'!D29+S111+G111</f>
        <v>#VALUE!</v>
      </c>
      <c r="U111" s="62" t="e">
        <f t="shared" si="56"/>
        <v>#VALUE!</v>
      </c>
      <c r="V111" s="72" t="e">
        <f t="shared" si="57"/>
        <v>#VALUE!</v>
      </c>
      <c r="W111" s="72" t="e">
        <f t="shared" si="58"/>
        <v>#VALUE!</v>
      </c>
      <c r="X111" s="57" t="e">
        <f t="shared" si="59"/>
        <v>#VALUE!</v>
      </c>
      <c r="Y111" s="57" t="e">
        <f t="shared" si="60"/>
        <v>#VALUE!</v>
      </c>
      <c r="Z111" s="57"/>
      <c r="AA111" s="57"/>
      <c r="AB111" s="57"/>
      <c r="AC111" s="57"/>
      <c r="AD111" s="57"/>
      <c r="AE111" s="57"/>
      <c r="AF111" s="57"/>
      <c r="AG111" s="57"/>
      <c r="AH111" s="57"/>
      <c r="AI111" s="57"/>
      <c r="AJ111" s="57"/>
      <c r="AK111" s="57"/>
      <c r="AL111" s="57"/>
      <c r="AM111" s="57"/>
      <c r="AN111" s="57"/>
      <c r="AO111" s="57"/>
      <c r="AP111" s="57"/>
      <c r="AQ111" s="57"/>
      <c r="AR111" s="57"/>
      <c r="AS111" s="57"/>
    </row>
    <row r="112" spans="1:45">
      <c r="A112" s="57">
        <v>8</v>
      </c>
      <c r="B112" s="57">
        <v>2028</v>
      </c>
      <c r="C112" s="62">
        <f>SUM('4. Metinis CAPEX'!H$9:H$16)</f>
        <v>0</v>
      </c>
      <c r="D112" s="62" cm="1">
        <f t="array" ref="D112">SUMPRODUCT('4. Metinis CAPEX'!H$9:H$16,IFERROR('2. Investicijos'!$N$5:$N$12/'2. Investicijos'!$H$5:$H$12,0))</f>
        <v>0</v>
      </c>
      <c r="E112" s="62" cm="1">
        <f t="array" ref="E112">SUMPRODUCT('4. Metinis CAPEX'!H$9:H$16,IFERROR(('2. Investicijos'!$I$5:$I$12+'2. Investicijos'!$J$5:$J$12+'2. Investicijos'!$K$5:$K$12+'2. Investicijos'!$L$5:$L$12)/'2. Investicijos'!$H$5:$H$12,0))</f>
        <v>0</v>
      </c>
      <c r="F112" s="62" cm="1">
        <f t="array" ref="F112">SUM('2. Investicijos'!$H$5:$H$12*'7. Pasirinktinis scenarijus'!$C$6)</f>
        <v>0</v>
      </c>
      <c r="G112" s="62" cm="1">
        <f t="array" ref="G112">IF(AND(2028&gt;=2026,2028&lt;2026+'7. Pasirinktinis scenarijus'!$C$5),SUM('2. Investicijos'!$H$5:$H$12*'7. Pasirinktinis scenarijus'!$C$6)/'7. Pasirinktinis scenarijus'!$C$5,0)</f>
        <v>0</v>
      </c>
      <c r="H112" s="62">
        <f t="shared" si="54"/>
        <v>0</v>
      </c>
      <c r="I112" s="62">
        <f>SUM(H$5:H$12)</f>
        <v>0</v>
      </c>
      <c r="J112" s="62" t="e" cm="1">
        <f t="array" ref="J112">K112+L112+MAX(0,-R111)*IFERROR(SUMPRODUCT(IF('2. Investicijos'!$N$5:$N$12&gt;('2. Investicijos'!$H$5:$H$12*'7. Pasirinktinis scenarijus'!$C$6),'2. Investicijos'!$N$5:$N$12-('2. Investicijos'!$H$5:$H$12*'7. Pasirinktinis scenarijus'!$C$6),0),'2. Investicijos'!$O$5:$O$12/100)/SUM(IF('2. Investicijos'!$N$5:$N$12&gt;('2. Investicijos'!$H$5:$H$12*'7. Pasirinktinis scenarijus'!$C$6),'2. Investicijos'!$N$5:$N$12-('2. Investicijos'!$H$5:$H$12*'7. Pasirinktinis scenarijus'!$C$6),0)),0)</f>
        <v>#VALUE!</v>
      </c>
      <c r="K112" s="62">
        <f>SUM(AB$5:AB$12)</f>
        <v>0</v>
      </c>
      <c r="L112" s="62">
        <f>SUM(R$5:R$12)</f>
        <v>0</v>
      </c>
      <c r="M112" s="62">
        <f>SUM(AL$5:AL$12)</f>
        <v>0</v>
      </c>
      <c r="N112" s="62">
        <f>'3. Finansinės prielaidos'!E30+M112</f>
        <v>0</v>
      </c>
      <c r="O112" s="62">
        <f>'3. Finansinės prielaidos'!E31</f>
        <v>0</v>
      </c>
      <c r="P112" s="62">
        <f>'3. Finansinės prielaidos'!E32</f>
        <v>0</v>
      </c>
      <c r="Q112" s="62" t="e">
        <f t="shared" si="55"/>
        <v>#VALUE!</v>
      </c>
      <c r="R112" s="62" t="e">
        <f>R111+('3. Finansinės prielaidos'!E31-'3. Finansinės prielaidos'!D31)+Q112</f>
        <v>#VALUE!</v>
      </c>
      <c r="S112" s="62" t="e" cm="1">
        <f t="array" ref="S112">SUMPRODUCT(--(2028&gt;'2. Investicijos'!$F$5:$F$12),--(2028&lt;='2. Investicijos'!$F$5:$F$12+'2. Investicijos'!$G$5:$G$12),IFERROR(('2. Investicijos'!$M$5:$M$12+IF('2. Investicijos'!$N$5:$N$12&gt;('2. Investicijos'!$H$5:$H$12*'7. Pasirinktinis scenarijus'!$C$6),'2. Investicijos'!$N$5:$N$12-('2. Investicijos'!$H$5:$H$12*'7. Pasirinktinis scenarijus'!$C$6),0)+('2. Investicijos'!$H$5:$H$12*'7. Pasirinktinis scenarijus'!$C$6))/'2. Investicijos'!$G$5:$G$12,0))+SUMPRODUCT(--(2028&gt;'2. Investicijos'!$F$5:$F$12),--(2028&lt;='2. Investicijos'!$F$5:$F$12+'2. Investicijos'!$G$5:$G$12),IFERROR(('2. Investicijos'!$M$5:$M$12+IF('2. Investicijos'!$N$5:$N$12&gt;('2. Investicijos'!$H$5:$H$12*'7. Pasirinktinis scenarijus'!$C$6),'2. Investicijos'!$N$5:$N$12-('2. Investicijos'!$H$5:$H$12*'7. Pasirinktinis scenarijus'!$C$6),0))*(1-((2028-'2. Investicijos'!$F$5:$F$12)-1)/'2. Investicijos'!$G$5:$G$12),0)*'5. 0% scenarijus'!$C$5)</f>
        <v>#VALUE!</v>
      </c>
      <c r="T112" s="62" t="e">
        <f>'3. Finansinės prielaidos'!E29+S112+G112</f>
        <v>#VALUE!</v>
      </c>
      <c r="U112" s="62" t="e">
        <f t="shared" si="56"/>
        <v>#VALUE!</v>
      </c>
      <c r="V112" s="72" t="e">
        <f t="shared" si="57"/>
        <v>#VALUE!</v>
      </c>
      <c r="W112" s="72" t="e">
        <f t="shared" si="58"/>
        <v>#VALUE!</v>
      </c>
      <c r="X112" s="57" t="e">
        <f t="shared" si="59"/>
        <v>#VALUE!</v>
      </c>
      <c r="Y112" s="57" t="e">
        <f t="shared" si="60"/>
        <v>#VALUE!</v>
      </c>
      <c r="Z112" s="57"/>
      <c r="AA112" s="57"/>
      <c r="AB112" s="57"/>
      <c r="AC112" s="57"/>
      <c r="AD112" s="57"/>
      <c r="AE112" s="57"/>
      <c r="AF112" s="57"/>
      <c r="AG112" s="57"/>
      <c r="AH112" s="57"/>
      <c r="AI112" s="57"/>
      <c r="AJ112" s="57"/>
      <c r="AK112" s="57"/>
      <c r="AL112" s="57"/>
      <c r="AM112" s="57"/>
      <c r="AN112" s="57"/>
      <c r="AO112" s="57"/>
      <c r="AP112" s="57"/>
      <c r="AQ112" s="57"/>
      <c r="AR112" s="57"/>
      <c r="AS112" s="57"/>
    </row>
    <row r="113" spans="1:45">
      <c r="A113" s="57">
        <v>8</v>
      </c>
      <c r="B113" s="57">
        <v>2029</v>
      </c>
      <c r="C113" s="62">
        <f>SUM('4. Metinis CAPEX'!I$9:I$16)</f>
        <v>0</v>
      </c>
      <c r="D113" s="62" cm="1">
        <f t="array" ref="D113">SUMPRODUCT('4. Metinis CAPEX'!I$9:I$16,IFERROR('2. Investicijos'!$N$5:$N$12/'2. Investicijos'!$H$5:$H$12,0))</f>
        <v>0</v>
      </c>
      <c r="E113" s="62" cm="1">
        <f t="array" ref="E113">SUMPRODUCT('4. Metinis CAPEX'!I$9:I$16,IFERROR(('2. Investicijos'!$I$5:$I$12+'2. Investicijos'!$J$5:$J$12+'2. Investicijos'!$K$5:$K$12+'2. Investicijos'!$L$5:$L$12)/'2. Investicijos'!$H$5:$H$12,0))</f>
        <v>0</v>
      </c>
      <c r="F113" s="62" cm="1">
        <f t="array" ref="F113">SUM('2. Investicijos'!$H$5:$H$12*'7. Pasirinktinis scenarijus'!$C$6)</f>
        <v>0</v>
      </c>
      <c r="G113" s="62" cm="1">
        <f t="array" ref="G113">IF(AND(2029&gt;=2026,2029&lt;2026+'7. Pasirinktinis scenarijus'!$C$5),SUM('2. Investicijos'!$H$5:$H$12*'7. Pasirinktinis scenarijus'!$C$6)/'7. Pasirinktinis scenarijus'!$C$5,0)</f>
        <v>0</v>
      </c>
      <c r="H113" s="62">
        <f t="shared" si="54"/>
        <v>0</v>
      </c>
      <c r="I113" s="62">
        <f>SUM(I$5:I$12)</f>
        <v>0</v>
      </c>
      <c r="J113" s="62" t="e" cm="1">
        <f t="array" ref="J113">K113+L113+MAX(0,-R112)*IFERROR(SUMPRODUCT(IF('2. Investicijos'!$N$5:$N$12&gt;('2. Investicijos'!$H$5:$H$12*'7. Pasirinktinis scenarijus'!$C$6),'2. Investicijos'!$N$5:$N$12-('2. Investicijos'!$H$5:$H$12*'7. Pasirinktinis scenarijus'!$C$6),0),'2. Investicijos'!$O$5:$O$12/100)/SUM(IF('2. Investicijos'!$N$5:$N$12&gt;('2. Investicijos'!$H$5:$H$12*'7. Pasirinktinis scenarijus'!$C$6),'2. Investicijos'!$N$5:$N$12-('2. Investicijos'!$H$5:$H$12*'7. Pasirinktinis scenarijus'!$C$6),0)),0)</f>
        <v>#VALUE!</v>
      </c>
      <c r="K113" s="62">
        <f>SUM(AC$5:AC$12)</f>
        <v>0</v>
      </c>
      <c r="L113" s="62">
        <f>SUM(S$5:S$12)</f>
        <v>0</v>
      </c>
      <c r="M113" s="62">
        <f>SUM(AM$5:AM$12)</f>
        <v>0</v>
      </c>
      <c r="N113" s="62">
        <f>'3. Finansinės prielaidos'!F30+M113</f>
        <v>0</v>
      </c>
      <c r="O113" s="62">
        <f>'3. Finansinės prielaidos'!F31</f>
        <v>0</v>
      </c>
      <c r="P113" s="62">
        <f>'3. Finansinės prielaidos'!F32</f>
        <v>0</v>
      </c>
      <c r="Q113" s="62" t="e">
        <f t="shared" si="55"/>
        <v>#VALUE!</v>
      </c>
      <c r="R113" s="62" t="e">
        <f>R112+('3. Finansinės prielaidos'!F31-'3. Finansinės prielaidos'!E31)+Q113</f>
        <v>#VALUE!</v>
      </c>
      <c r="S113" s="62" t="e" cm="1">
        <f t="array" ref="S113">SUMPRODUCT(--(2029&gt;'2. Investicijos'!$F$5:$F$12),--(2029&lt;='2. Investicijos'!$F$5:$F$12+'2. Investicijos'!$G$5:$G$12),IFERROR(('2. Investicijos'!$M$5:$M$12+IF('2. Investicijos'!$N$5:$N$12&gt;('2. Investicijos'!$H$5:$H$12*'7. Pasirinktinis scenarijus'!$C$6),'2. Investicijos'!$N$5:$N$12-('2. Investicijos'!$H$5:$H$12*'7. Pasirinktinis scenarijus'!$C$6),0)+('2. Investicijos'!$H$5:$H$12*'7. Pasirinktinis scenarijus'!$C$6))/'2. Investicijos'!$G$5:$G$12,0))+SUMPRODUCT(--(2029&gt;'2. Investicijos'!$F$5:$F$12),--(2029&lt;='2. Investicijos'!$F$5:$F$12+'2. Investicijos'!$G$5:$G$12),IFERROR(('2. Investicijos'!$M$5:$M$12+IF('2. Investicijos'!$N$5:$N$12&gt;('2. Investicijos'!$H$5:$H$12*'7. Pasirinktinis scenarijus'!$C$6),'2. Investicijos'!$N$5:$N$12-('2. Investicijos'!$H$5:$H$12*'7. Pasirinktinis scenarijus'!$C$6),0))*(1-((2029-'2. Investicijos'!$F$5:$F$12)-1)/'2. Investicijos'!$G$5:$G$12),0)*'5. 0% scenarijus'!$C$5)</f>
        <v>#VALUE!</v>
      </c>
      <c r="T113" s="62" t="e">
        <f>'3. Finansinės prielaidos'!F29+S113+G113</f>
        <v>#VALUE!</v>
      </c>
      <c r="U113" s="62" t="e">
        <f t="shared" si="56"/>
        <v>#VALUE!</v>
      </c>
      <c r="V113" s="72" t="e">
        <f t="shared" si="57"/>
        <v>#VALUE!</v>
      </c>
      <c r="W113" s="72" t="e">
        <f t="shared" si="58"/>
        <v>#VALUE!</v>
      </c>
      <c r="X113" s="57" t="e">
        <f t="shared" si="59"/>
        <v>#VALUE!</v>
      </c>
      <c r="Y113" s="57" t="e">
        <f t="shared" si="60"/>
        <v>#VALUE!</v>
      </c>
      <c r="Z113" s="57"/>
      <c r="AA113" s="57"/>
      <c r="AB113" s="57"/>
      <c r="AC113" s="57"/>
      <c r="AD113" s="57"/>
      <c r="AE113" s="57"/>
      <c r="AF113" s="57"/>
      <c r="AG113" s="57"/>
      <c r="AH113" s="57"/>
      <c r="AI113" s="57"/>
      <c r="AJ113" s="57"/>
      <c r="AK113" s="57"/>
      <c r="AL113" s="57"/>
      <c r="AM113" s="57"/>
      <c r="AN113" s="57"/>
      <c r="AO113" s="57"/>
      <c r="AP113" s="57"/>
      <c r="AQ113" s="57"/>
      <c r="AR113" s="57"/>
      <c r="AS113" s="57"/>
    </row>
    <row r="114" spans="1:45">
      <c r="A114" s="57">
        <v>8</v>
      </c>
      <c r="B114" s="57">
        <v>2030</v>
      </c>
      <c r="C114" s="62">
        <f>SUM('4. Metinis CAPEX'!J$9:J$16)</f>
        <v>0</v>
      </c>
      <c r="D114" s="62" cm="1">
        <f t="array" ref="D114">SUMPRODUCT('4. Metinis CAPEX'!J$9:J$16,IFERROR('2. Investicijos'!$N$5:$N$12/'2. Investicijos'!$H$5:$H$12,0))</f>
        <v>0</v>
      </c>
      <c r="E114" s="62" cm="1">
        <f t="array" ref="E114">SUMPRODUCT('4. Metinis CAPEX'!J$9:J$16,IFERROR(('2. Investicijos'!$I$5:$I$12+'2. Investicijos'!$J$5:$J$12+'2. Investicijos'!$K$5:$K$12+'2. Investicijos'!$L$5:$L$12)/'2. Investicijos'!$H$5:$H$12,0))</f>
        <v>0</v>
      </c>
      <c r="F114" s="62" cm="1">
        <f t="array" ref="F114">SUM('2. Investicijos'!$H$5:$H$12*'7. Pasirinktinis scenarijus'!$C$6)</f>
        <v>0</v>
      </c>
      <c r="G114" s="62" cm="1">
        <f t="array" ref="G114">IF(AND(2030&gt;=2026,2030&lt;2026+'7. Pasirinktinis scenarijus'!$C$5),SUM('2. Investicijos'!$H$5:$H$12*'7. Pasirinktinis scenarijus'!$C$6)/'7. Pasirinktinis scenarijus'!$C$5,0)</f>
        <v>0</v>
      </c>
      <c r="H114" s="62">
        <f t="shared" si="54"/>
        <v>0</v>
      </c>
      <c r="I114" s="62">
        <f>SUM(J$5:J$12)</f>
        <v>0</v>
      </c>
      <c r="J114" s="62" t="e" cm="1">
        <f t="array" ref="J114">K114+L114+MAX(0,-R113)*IFERROR(SUMPRODUCT(IF('2. Investicijos'!$N$5:$N$12&gt;('2. Investicijos'!$H$5:$H$12*'7. Pasirinktinis scenarijus'!$C$6),'2. Investicijos'!$N$5:$N$12-('2. Investicijos'!$H$5:$H$12*'7. Pasirinktinis scenarijus'!$C$6),0),'2. Investicijos'!$O$5:$O$12/100)/SUM(IF('2. Investicijos'!$N$5:$N$12&gt;('2. Investicijos'!$H$5:$H$12*'7. Pasirinktinis scenarijus'!$C$6),'2. Investicijos'!$N$5:$N$12-('2. Investicijos'!$H$5:$H$12*'7. Pasirinktinis scenarijus'!$C$6),0)),0)</f>
        <v>#VALUE!</v>
      </c>
      <c r="K114" s="62">
        <f>SUM(AD$5:AD$12)</f>
        <v>0</v>
      </c>
      <c r="L114" s="62">
        <f>SUM(T$5:T$12)</f>
        <v>0</v>
      </c>
      <c r="M114" s="62">
        <f>SUM(AN$5:AN$12)</f>
        <v>0</v>
      </c>
      <c r="N114" s="62">
        <f>'3. Finansinės prielaidos'!G30+M114</f>
        <v>0</v>
      </c>
      <c r="O114" s="62">
        <f>'3. Finansinės prielaidos'!G31</f>
        <v>0</v>
      </c>
      <c r="P114" s="62">
        <f>'3. Finansinės prielaidos'!G32</f>
        <v>0</v>
      </c>
      <c r="Q114" s="62" t="e">
        <f t="shared" si="55"/>
        <v>#VALUE!</v>
      </c>
      <c r="R114" s="62" t="e">
        <f>R113+('3. Finansinės prielaidos'!G31-'3. Finansinės prielaidos'!F31)+Q114</f>
        <v>#VALUE!</v>
      </c>
      <c r="S114" s="62" t="e" cm="1">
        <f t="array" ref="S114">SUMPRODUCT(--(2030&gt;'2. Investicijos'!$F$5:$F$12),--(2030&lt;='2. Investicijos'!$F$5:$F$12+'2. Investicijos'!$G$5:$G$12),IFERROR(('2. Investicijos'!$M$5:$M$12+IF('2. Investicijos'!$N$5:$N$12&gt;('2. Investicijos'!$H$5:$H$12*'7. Pasirinktinis scenarijus'!$C$6),'2. Investicijos'!$N$5:$N$12-('2. Investicijos'!$H$5:$H$12*'7. Pasirinktinis scenarijus'!$C$6),0)+('2. Investicijos'!$H$5:$H$12*'7. Pasirinktinis scenarijus'!$C$6))/'2. Investicijos'!$G$5:$G$12,0))+SUMPRODUCT(--(2030&gt;'2. Investicijos'!$F$5:$F$12),--(2030&lt;='2. Investicijos'!$F$5:$F$12+'2. Investicijos'!$G$5:$G$12),IFERROR(('2. Investicijos'!$M$5:$M$12+IF('2. Investicijos'!$N$5:$N$12&gt;('2. Investicijos'!$H$5:$H$12*'7. Pasirinktinis scenarijus'!$C$6),'2. Investicijos'!$N$5:$N$12-('2. Investicijos'!$H$5:$H$12*'7. Pasirinktinis scenarijus'!$C$6),0))*(1-((2030-'2. Investicijos'!$F$5:$F$12)-1)/'2. Investicijos'!$G$5:$G$12),0)*'5. 0% scenarijus'!$C$5)</f>
        <v>#VALUE!</v>
      </c>
      <c r="T114" s="62" t="e">
        <f>'3. Finansinės prielaidos'!G29+S114+G114</f>
        <v>#VALUE!</v>
      </c>
      <c r="U114" s="62" t="e">
        <f t="shared" si="56"/>
        <v>#VALUE!</v>
      </c>
      <c r="V114" s="72" t="e">
        <f t="shared" si="57"/>
        <v>#VALUE!</v>
      </c>
      <c r="W114" s="72" t="e">
        <f t="shared" si="58"/>
        <v>#VALUE!</v>
      </c>
      <c r="X114" s="57" t="e">
        <f t="shared" si="59"/>
        <v>#VALUE!</v>
      </c>
      <c r="Y114" s="57" t="e">
        <f t="shared" si="60"/>
        <v>#VALUE!</v>
      </c>
      <c r="Z114" s="57"/>
      <c r="AA114" s="57"/>
      <c r="AB114" s="57"/>
      <c r="AC114" s="57"/>
      <c r="AD114" s="57"/>
      <c r="AE114" s="57"/>
      <c r="AF114" s="57"/>
      <c r="AG114" s="57"/>
      <c r="AH114" s="57"/>
      <c r="AI114" s="57"/>
      <c r="AJ114" s="57"/>
      <c r="AK114" s="57"/>
      <c r="AL114" s="57"/>
      <c r="AM114" s="57"/>
      <c r="AN114" s="57"/>
      <c r="AO114" s="57"/>
      <c r="AP114" s="57"/>
      <c r="AQ114" s="57"/>
      <c r="AR114" s="57"/>
      <c r="AS114" s="57"/>
    </row>
    <row r="115" spans="1:45">
      <c r="A115" s="57">
        <v>8</v>
      </c>
      <c r="B115" s="57">
        <v>2031</v>
      </c>
      <c r="C115" s="62">
        <f>SUM('4. Metinis CAPEX'!K$9:K$16)</f>
        <v>0</v>
      </c>
      <c r="D115" s="62" cm="1">
        <f t="array" ref="D115">SUMPRODUCT('4. Metinis CAPEX'!K$9:K$16,IFERROR('2. Investicijos'!$N$5:$N$12/'2. Investicijos'!$H$5:$H$12,0))</f>
        <v>0</v>
      </c>
      <c r="E115" s="62" cm="1">
        <f t="array" ref="E115">SUMPRODUCT('4. Metinis CAPEX'!K$9:K$16,IFERROR(('2. Investicijos'!$I$5:$I$12+'2. Investicijos'!$J$5:$J$12+'2. Investicijos'!$K$5:$K$12+'2. Investicijos'!$L$5:$L$12)/'2. Investicijos'!$H$5:$H$12,0))</f>
        <v>0</v>
      </c>
      <c r="F115" s="62" cm="1">
        <f t="array" ref="F115">SUM('2. Investicijos'!$H$5:$H$12*'7. Pasirinktinis scenarijus'!$C$6)</f>
        <v>0</v>
      </c>
      <c r="G115" s="62" cm="1">
        <f t="array" ref="G115">IF(AND(2031&gt;=2026,2031&lt;2026+'7. Pasirinktinis scenarijus'!$C$5),SUM('2. Investicijos'!$H$5:$H$12*'7. Pasirinktinis scenarijus'!$C$6)/'7. Pasirinktinis scenarijus'!$C$5,0)</f>
        <v>0</v>
      </c>
      <c r="H115" s="62">
        <f t="shared" si="54"/>
        <v>0</v>
      </c>
      <c r="I115" s="62">
        <f>SUM(K$5:K$12)</f>
        <v>0</v>
      </c>
      <c r="J115" s="62" t="e" cm="1">
        <f t="array" ref="J115">K115+L115+MAX(0,-R114)*IFERROR(SUMPRODUCT(IF('2. Investicijos'!$N$5:$N$12&gt;('2. Investicijos'!$H$5:$H$12*'7. Pasirinktinis scenarijus'!$C$6),'2. Investicijos'!$N$5:$N$12-('2. Investicijos'!$H$5:$H$12*'7. Pasirinktinis scenarijus'!$C$6),0),'2. Investicijos'!$O$5:$O$12/100)/SUM(IF('2. Investicijos'!$N$5:$N$12&gt;('2. Investicijos'!$H$5:$H$12*'7. Pasirinktinis scenarijus'!$C$6),'2. Investicijos'!$N$5:$N$12-('2. Investicijos'!$H$5:$H$12*'7. Pasirinktinis scenarijus'!$C$6),0)),0)</f>
        <v>#VALUE!</v>
      </c>
      <c r="K115" s="62">
        <f>SUM(AE$5:AE$12)</f>
        <v>0</v>
      </c>
      <c r="L115" s="62">
        <f>SUM(U$5:U$12)</f>
        <v>0</v>
      </c>
      <c r="M115" s="62">
        <f>SUM(AO$5:AO$12)</f>
        <v>0</v>
      </c>
      <c r="N115" s="62">
        <f>'3. Finansinės prielaidos'!H30+M115</f>
        <v>0</v>
      </c>
      <c r="O115" s="62">
        <f>'3. Finansinės prielaidos'!H31</f>
        <v>0</v>
      </c>
      <c r="P115" s="62">
        <f>'3. Finansinės prielaidos'!H32</f>
        <v>0</v>
      </c>
      <c r="Q115" s="62" t="e">
        <f t="shared" si="55"/>
        <v>#VALUE!</v>
      </c>
      <c r="R115" s="62" t="e">
        <f>R114+('3. Finansinės prielaidos'!H31-'3. Finansinės prielaidos'!G31)+Q115</f>
        <v>#VALUE!</v>
      </c>
      <c r="S115" s="62" t="e" cm="1">
        <f t="array" ref="S115">SUMPRODUCT(--(2031&gt;'2. Investicijos'!$F$5:$F$12),--(2031&lt;='2. Investicijos'!$F$5:$F$12+'2. Investicijos'!$G$5:$G$12),IFERROR(('2. Investicijos'!$M$5:$M$12+IF('2. Investicijos'!$N$5:$N$12&gt;('2. Investicijos'!$H$5:$H$12*'7. Pasirinktinis scenarijus'!$C$6),'2. Investicijos'!$N$5:$N$12-('2. Investicijos'!$H$5:$H$12*'7. Pasirinktinis scenarijus'!$C$6),0)+('2. Investicijos'!$H$5:$H$12*'7. Pasirinktinis scenarijus'!$C$6))/'2. Investicijos'!$G$5:$G$12,0))+SUMPRODUCT(--(2031&gt;'2. Investicijos'!$F$5:$F$12),--(2031&lt;='2. Investicijos'!$F$5:$F$12+'2. Investicijos'!$G$5:$G$12),IFERROR(('2. Investicijos'!$M$5:$M$12+IF('2. Investicijos'!$N$5:$N$12&gt;('2. Investicijos'!$H$5:$H$12*'7. Pasirinktinis scenarijus'!$C$6),'2. Investicijos'!$N$5:$N$12-('2. Investicijos'!$H$5:$H$12*'7. Pasirinktinis scenarijus'!$C$6),0))*(1-((2031-'2. Investicijos'!$F$5:$F$12)-1)/'2. Investicijos'!$G$5:$G$12),0)*'5. 0% scenarijus'!$C$5)</f>
        <v>#VALUE!</v>
      </c>
      <c r="T115" s="62" t="e">
        <f>'3. Finansinės prielaidos'!H29+S115+G115</f>
        <v>#VALUE!</v>
      </c>
      <c r="U115" s="62" t="e">
        <f t="shared" si="56"/>
        <v>#VALUE!</v>
      </c>
      <c r="V115" s="72" t="e">
        <f t="shared" si="57"/>
        <v>#VALUE!</v>
      </c>
      <c r="W115" s="72" t="e">
        <f t="shared" si="58"/>
        <v>#VALUE!</v>
      </c>
      <c r="X115" s="57" t="e">
        <f t="shared" si="59"/>
        <v>#VALUE!</v>
      </c>
      <c r="Y115" s="57" t="e">
        <f t="shared" si="60"/>
        <v>#VALUE!</v>
      </c>
      <c r="Z115" s="57"/>
      <c r="AA115" s="57"/>
      <c r="AB115" s="57"/>
      <c r="AC115" s="57"/>
      <c r="AD115" s="57"/>
      <c r="AE115" s="57"/>
      <c r="AF115" s="57"/>
      <c r="AG115" s="57"/>
      <c r="AH115" s="57"/>
      <c r="AI115" s="57"/>
      <c r="AJ115" s="57"/>
      <c r="AK115" s="57"/>
      <c r="AL115" s="57"/>
      <c r="AM115" s="57"/>
      <c r="AN115" s="57"/>
      <c r="AO115" s="57"/>
      <c r="AP115" s="57"/>
      <c r="AQ115" s="57"/>
      <c r="AR115" s="57"/>
      <c r="AS115" s="57"/>
    </row>
    <row r="116" spans="1:45">
      <c r="A116" s="57">
        <v>8</v>
      </c>
      <c r="B116" s="57">
        <v>2032</v>
      </c>
      <c r="C116" s="62">
        <f>SUM('4. Metinis CAPEX'!L$9:L$16)</f>
        <v>0</v>
      </c>
      <c r="D116" s="62" cm="1">
        <f t="array" ref="D116">SUMPRODUCT('4. Metinis CAPEX'!L$9:L$16,IFERROR('2. Investicijos'!$N$5:$N$12/'2. Investicijos'!$H$5:$H$12,0))</f>
        <v>0</v>
      </c>
      <c r="E116" s="62" cm="1">
        <f t="array" ref="E116">SUMPRODUCT('4. Metinis CAPEX'!L$9:L$16,IFERROR(('2. Investicijos'!$I$5:$I$12+'2. Investicijos'!$J$5:$J$12+'2. Investicijos'!$K$5:$K$12+'2. Investicijos'!$L$5:$L$12)/'2. Investicijos'!$H$5:$H$12,0))</f>
        <v>0</v>
      </c>
      <c r="F116" s="62" cm="1">
        <f t="array" ref="F116">SUM('2. Investicijos'!$H$5:$H$12*'7. Pasirinktinis scenarijus'!$C$6)</f>
        <v>0</v>
      </c>
      <c r="G116" s="62" cm="1">
        <f t="array" ref="G116">IF(AND(2032&gt;=2026,2032&lt;2026+'7. Pasirinktinis scenarijus'!$C$5),SUM('2. Investicijos'!$H$5:$H$12*'7. Pasirinktinis scenarijus'!$C$6)/'7. Pasirinktinis scenarijus'!$C$5,0)</f>
        <v>0</v>
      </c>
      <c r="H116" s="62">
        <f t="shared" si="54"/>
        <v>0</v>
      </c>
      <c r="I116" s="62">
        <f>SUM(L$5:L$12)</f>
        <v>0</v>
      </c>
      <c r="J116" s="62" t="e" cm="1">
        <f t="array" ref="J116">K116+L116+MAX(0,-R115)*IFERROR(SUMPRODUCT(IF('2. Investicijos'!$N$5:$N$12&gt;('2. Investicijos'!$H$5:$H$12*'7. Pasirinktinis scenarijus'!$C$6),'2. Investicijos'!$N$5:$N$12-('2. Investicijos'!$H$5:$H$12*'7. Pasirinktinis scenarijus'!$C$6),0),'2. Investicijos'!$O$5:$O$12/100)/SUM(IF('2. Investicijos'!$N$5:$N$12&gt;('2. Investicijos'!$H$5:$H$12*'7. Pasirinktinis scenarijus'!$C$6),'2. Investicijos'!$N$5:$N$12-('2. Investicijos'!$H$5:$H$12*'7. Pasirinktinis scenarijus'!$C$6),0)),0)</f>
        <v>#VALUE!</v>
      </c>
      <c r="K116" s="62">
        <f>SUM(AF$5:AF$12)</f>
        <v>0</v>
      </c>
      <c r="L116" s="62">
        <f>SUM(V$5:V$12)</f>
        <v>0</v>
      </c>
      <c r="M116" s="62">
        <f>SUM(AP$5:AP$12)</f>
        <v>0</v>
      </c>
      <c r="N116" s="62">
        <f>'3. Finansinės prielaidos'!I30+M116</f>
        <v>0</v>
      </c>
      <c r="O116" s="62">
        <f>'3. Finansinės prielaidos'!I31</f>
        <v>0</v>
      </c>
      <c r="P116" s="62">
        <f>'3. Finansinės prielaidos'!I32</f>
        <v>0</v>
      </c>
      <c r="Q116" s="62" t="e">
        <f t="shared" si="55"/>
        <v>#VALUE!</v>
      </c>
      <c r="R116" s="62" t="e">
        <f>R115+('3. Finansinės prielaidos'!I31-'3. Finansinės prielaidos'!H31)+Q116</f>
        <v>#VALUE!</v>
      </c>
      <c r="S116" s="62" t="e" cm="1">
        <f t="array" ref="S116">SUMPRODUCT(--(2032&gt;'2. Investicijos'!$F$5:$F$12),--(2032&lt;='2. Investicijos'!$F$5:$F$12+'2. Investicijos'!$G$5:$G$12),IFERROR(('2. Investicijos'!$M$5:$M$12+IF('2. Investicijos'!$N$5:$N$12&gt;('2. Investicijos'!$H$5:$H$12*'7. Pasirinktinis scenarijus'!$C$6),'2. Investicijos'!$N$5:$N$12-('2. Investicijos'!$H$5:$H$12*'7. Pasirinktinis scenarijus'!$C$6),0)+('2. Investicijos'!$H$5:$H$12*'7. Pasirinktinis scenarijus'!$C$6))/'2. Investicijos'!$G$5:$G$12,0))+SUMPRODUCT(--(2032&gt;'2. Investicijos'!$F$5:$F$12),--(2032&lt;='2. Investicijos'!$F$5:$F$12+'2. Investicijos'!$G$5:$G$12),IFERROR(('2. Investicijos'!$M$5:$M$12+IF('2. Investicijos'!$N$5:$N$12&gt;('2. Investicijos'!$H$5:$H$12*'7. Pasirinktinis scenarijus'!$C$6),'2. Investicijos'!$N$5:$N$12-('2. Investicijos'!$H$5:$H$12*'7. Pasirinktinis scenarijus'!$C$6),0))*(1-((2032-'2. Investicijos'!$F$5:$F$12)-1)/'2. Investicijos'!$G$5:$G$12),0)*'5. 0% scenarijus'!$C$5)</f>
        <v>#VALUE!</v>
      </c>
      <c r="T116" s="62" t="e">
        <f>'3. Finansinės prielaidos'!I29+S116+G116</f>
        <v>#VALUE!</v>
      </c>
      <c r="U116" s="62" t="e">
        <f t="shared" si="56"/>
        <v>#VALUE!</v>
      </c>
      <c r="V116" s="72" t="e">
        <f t="shared" si="57"/>
        <v>#VALUE!</v>
      </c>
      <c r="W116" s="72" t="e">
        <f t="shared" si="58"/>
        <v>#VALUE!</v>
      </c>
      <c r="X116" s="57" t="e">
        <f t="shared" si="59"/>
        <v>#VALUE!</v>
      </c>
      <c r="Y116" s="57" t="e">
        <f t="shared" si="60"/>
        <v>#VALUE!</v>
      </c>
      <c r="Z116" s="57"/>
      <c r="AA116" s="57"/>
      <c r="AB116" s="57"/>
      <c r="AC116" s="57"/>
      <c r="AD116" s="57"/>
      <c r="AE116" s="57"/>
      <c r="AF116" s="57"/>
      <c r="AG116" s="57"/>
      <c r="AH116" s="57"/>
      <c r="AI116" s="57"/>
      <c r="AJ116" s="57"/>
      <c r="AK116" s="57"/>
      <c r="AL116" s="57"/>
      <c r="AM116" s="57"/>
      <c r="AN116" s="57"/>
      <c r="AO116" s="57"/>
      <c r="AP116" s="57"/>
      <c r="AQ116" s="57"/>
      <c r="AR116" s="57"/>
      <c r="AS116" s="57"/>
    </row>
    <row r="117" spans="1:45">
      <c r="A117" s="57">
        <v>8</v>
      </c>
      <c r="B117" s="57">
        <v>2033</v>
      </c>
      <c r="C117" s="62">
        <f>SUM('4. Metinis CAPEX'!M$9:M$16)</f>
        <v>0</v>
      </c>
      <c r="D117" s="62" cm="1">
        <f t="array" ref="D117">SUMPRODUCT('4. Metinis CAPEX'!M$9:M$16,IFERROR('2. Investicijos'!$N$5:$N$12/'2. Investicijos'!$H$5:$H$12,0))</f>
        <v>0</v>
      </c>
      <c r="E117" s="62" cm="1">
        <f t="array" ref="E117">SUMPRODUCT('4. Metinis CAPEX'!M$9:M$16,IFERROR(('2. Investicijos'!$I$5:$I$12+'2. Investicijos'!$J$5:$J$12+'2. Investicijos'!$K$5:$K$12+'2. Investicijos'!$L$5:$L$12)/'2. Investicijos'!$H$5:$H$12,0))</f>
        <v>0</v>
      </c>
      <c r="F117" s="62" cm="1">
        <f t="array" ref="F117">SUM('2. Investicijos'!$H$5:$H$12*'7. Pasirinktinis scenarijus'!$C$6)</f>
        <v>0</v>
      </c>
      <c r="G117" s="62" cm="1">
        <f t="array" ref="G117">IF(AND(2033&gt;=2026,2033&lt;2026+'7. Pasirinktinis scenarijus'!$C$5),SUM('2. Investicijos'!$H$5:$H$12*'7. Pasirinktinis scenarijus'!$C$6)/'7. Pasirinktinis scenarijus'!$C$5,0)</f>
        <v>0</v>
      </c>
      <c r="H117" s="62">
        <f t="shared" si="54"/>
        <v>0</v>
      </c>
      <c r="I117" s="62">
        <f>SUM(M$5:M$12)</f>
        <v>0</v>
      </c>
      <c r="J117" s="62" t="e" cm="1">
        <f t="array" ref="J117">K117+L117+MAX(0,-R116)*IFERROR(SUMPRODUCT(IF('2. Investicijos'!$N$5:$N$12&gt;('2. Investicijos'!$H$5:$H$12*'7. Pasirinktinis scenarijus'!$C$6),'2. Investicijos'!$N$5:$N$12-('2. Investicijos'!$H$5:$H$12*'7. Pasirinktinis scenarijus'!$C$6),0),'2. Investicijos'!$O$5:$O$12/100)/SUM(IF('2. Investicijos'!$N$5:$N$12&gt;('2. Investicijos'!$H$5:$H$12*'7. Pasirinktinis scenarijus'!$C$6),'2. Investicijos'!$N$5:$N$12-('2. Investicijos'!$H$5:$H$12*'7. Pasirinktinis scenarijus'!$C$6),0)),0)</f>
        <v>#VALUE!</v>
      </c>
      <c r="K117" s="62">
        <f>SUM(AG$5:AG$12)</f>
        <v>0</v>
      </c>
      <c r="L117" s="62">
        <f>SUM(W$5:W$12)</f>
        <v>0</v>
      </c>
      <c r="M117" s="62">
        <f>SUM(AQ$5:AQ$12)</f>
        <v>0</v>
      </c>
      <c r="N117" s="62">
        <f>'3. Finansinės prielaidos'!J30+M117</f>
        <v>0</v>
      </c>
      <c r="O117" s="62">
        <f>'3. Finansinės prielaidos'!J31</f>
        <v>0</v>
      </c>
      <c r="P117" s="62">
        <f>'3. Finansinės prielaidos'!J32</f>
        <v>0</v>
      </c>
      <c r="Q117" s="62" t="e">
        <f t="shared" si="55"/>
        <v>#VALUE!</v>
      </c>
      <c r="R117" s="62" t="e">
        <f>R116+('3. Finansinės prielaidos'!J31-'3. Finansinės prielaidos'!I31)+Q117</f>
        <v>#VALUE!</v>
      </c>
      <c r="S117" s="62" t="e" cm="1">
        <f t="array" ref="S117">SUMPRODUCT(--(2033&gt;'2. Investicijos'!$F$5:$F$12),--(2033&lt;='2. Investicijos'!$F$5:$F$12+'2. Investicijos'!$G$5:$G$12),IFERROR(('2. Investicijos'!$M$5:$M$12+IF('2. Investicijos'!$N$5:$N$12&gt;('2. Investicijos'!$H$5:$H$12*'7. Pasirinktinis scenarijus'!$C$6),'2. Investicijos'!$N$5:$N$12-('2. Investicijos'!$H$5:$H$12*'7. Pasirinktinis scenarijus'!$C$6),0)+('2. Investicijos'!$H$5:$H$12*'7. Pasirinktinis scenarijus'!$C$6))/'2. Investicijos'!$G$5:$G$12,0))+SUMPRODUCT(--(2033&gt;'2. Investicijos'!$F$5:$F$12),--(2033&lt;='2. Investicijos'!$F$5:$F$12+'2. Investicijos'!$G$5:$G$12),IFERROR(('2. Investicijos'!$M$5:$M$12+IF('2. Investicijos'!$N$5:$N$12&gt;('2. Investicijos'!$H$5:$H$12*'7. Pasirinktinis scenarijus'!$C$6),'2. Investicijos'!$N$5:$N$12-('2. Investicijos'!$H$5:$H$12*'7. Pasirinktinis scenarijus'!$C$6),0))*(1-((2033-'2. Investicijos'!$F$5:$F$12)-1)/'2. Investicijos'!$G$5:$G$12),0)*'5. 0% scenarijus'!$C$5)</f>
        <v>#VALUE!</v>
      </c>
      <c r="T117" s="62" t="e">
        <f>'3. Finansinės prielaidos'!J29+S117+G117</f>
        <v>#VALUE!</v>
      </c>
      <c r="U117" s="62" t="e">
        <f t="shared" si="56"/>
        <v>#VALUE!</v>
      </c>
      <c r="V117" s="72" t="e">
        <f t="shared" si="57"/>
        <v>#VALUE!</v>
      </c>
      <c r="W117" s="72" t="e">
        <f t="shared" si="58"/>
        <v>#VALUE!</v>
      </c>
      <c r="X117" s="57" t="e">
        <f t="shared" si="59"/>
        <v>#VALUE!</v>
      </c>
      <c r="Y117" s="57" t="e">
        <f t="shared" si="60"/>
        <v>#VALUE!</v>
      </c>
      <c r="Z117" s="57"/>
      <c r="AA117" s="57"/>
      <c r="AB117" s="57"/>
      <c r="AC117" s="57"/>
      <c r="AD117" s="57"/>
      <c r="AE117" s="57"/>
      <c r="AF117" s="57"/>
      <c r="AG117" s="57"/>
      <c r="AH117" s="57"/>
      <c r="AI117" s="57"/>
      <c r="AJ117" s="57"/>
      <c r="AK117" s="57"/>
      <c r="AL117" s="57"/>
      <c r="AM117" s="57"/>
      <c r="AN117" s="57"/>
      <c r="AO117" s="57"/>
      <c r="AP117" s="57"/>
      <c r="AQ117" s="57"/>
      <c r="AR117" s="57"/>
      <c r="AS117" s="57"/>
    </row>
    <row r="118" spans="1:45">
      <c r="A118" s="57">
        <v>8</v>
      </c>
      <c r="B118" s="57">
        <v>2034</v>
      </c>
      <c r="C118" s="62">
        <f>SUM('4. Metinis CAPEX'!N$9:N$16)</f>
        <v>0</v>
      </c>
      <c r="D118" s="62" cm="1">
        <f t="array" ref="D118">SUMPRODUCT('4. Metinis CAPEX'!N$9:N$16,IFERROR('2. Investicijos'!$N$5:$N$12/'2. Investicijos'!$H$5:$H$12,0))</f>
        <v>0</v>
      </c>
      <c r="E118" s="62" cm="1">
        <f t="array" ref="E118">SUMPRODUCT('4. Metinis CAPEX'!N$9:N$16,IFERROR(('2. Investicijos'!$I$5:$I$12+'2. Investicijos'!$J$5:$J$12+'2. Investicijos'!$K$5:$K$12+'2. Investicijos'!$L$5:$L$12)/'2. Investicijos'!$H$5:$H$12,0))</f>
        <v>0</v>
      </c>
      <c r="F118" s="62" cm="1">
        <f t="array" ref="F118">SUM('2. Investicijos'!$H$5:$H$12*'7. Pasirinktinis scenarijus'!$C$6)</f>
        <v>0</v>
      </c>
      <c r="G118" s="62" cm="1">
        <f t="array" ref="G118">IF(AND(2034&gt;=2026,2034&lt;2026+'7. Pasirinktinis scenarijus'!$C$5),SUM('2. Investicijos'!$H$5:$H$12*'7. Pasirinktinis scenarijus'!$C$6)/'7. Pasirinktinis scenarijus'!$C$5,0)</f>
        <v>0</v>
      </c>
      <c r="H118" s="62">
        <f t="shared" si="54"/>
        <v>0</v>
      </c>
      <c r="I118" s="62">
        <f>SUM(N$5:N$12)</f>
        <v>0</v>
      </c>
      <c r="J118" s="62" t="e" cm="1">
        <f t="array" ref="J118">K118+L118+MAX(0,-R117)*IFERROR(SUMPRODUCT(IF('2. Investicijos'!$N$5:$N$12&gt;('2. Investicijos'!$H$5:$H$12*'7. Pasirinktinis scenarijus'!$C$6),'2. Investicijos'!$N$5:$N$12-('2. Investicijos'!$H$5:$H$12*'7. Pasirinktinis scenarijus'!$C$6),0),'2. Investicijos'!$O$5:$O$12/100)/SUM(IF('2. Investicijos'!$N$5:$N$12&gt;('2. Investicijos'!$H$5:$H$12*'7. Pasirinktinis scenarijus'!$C$6),'2. Investicijos'!$N$5:$N$12-('2. Investicijos'!$H$5:$H$12*'7. Pasirinktinis scenarijus'!$C$6),0)),0)</f>
        <v>#VALUE!</v>
      </c>
      <c r="K118" s="62">
        <f>SUM(AH$5:AH$12)</f>
        <v>0</v>
      </c>
      <c r="L118" s="62">
        <f>SUM(X$5:X$12)</f>
        <v>0</v>
      </c>
      <c r="M118" s="62">
        <f>SUM(AR$5:AR$12)</f>
        <v>0</v>
      </c>
      <c r="N118" s="62">
        <f>'3. Finansinės prielaidos'!K30+M118</f>
        <v>0</v>
      </c>
      <c r="O118" s="62">
        <f>'3. Finansinės prielaidos'!K31</f>
        <v>0</v>
      </c>
      <c r="P118" s="62">
        <f>'3. Finansinės prielaidos'!K32</f>
        <v>0</v>
      </c>
      <c r="Q118" s="62" t="e">
        <f t="shared" si="55"/>
        <v>#VALUE!</v>
      </c>
      <c r="R118" s="62" t="e">
        <f>R117+('3. Finansinės prielaidos'!K31-'3. Finansinės prielaidos'!J31)+Q118</f>
        <v>#VALUE!</v>
      </c>
      <c r="S118" s="62" t="e" cm="1">
        <f t="array" ref="S118">SUMPRODUCT(--(2034&gt;'2. Investicijos'!$F$5:$F$12),--(2034&lt;='2. Investicijos'!$F$5:$F$12+'2. Investicijos'!$G$5:$G$12),IFERROR(('2. Investicijos'!$M$5:$M$12+IF('2. Investicijos'!$N$5:$N$12&gt;('2. Investicijos'!$H$5:$H$12*'7. Pasirinktinis scenarijus'!$C$6),'2. Investicijos'!$N$5:$N$12-('2. Investicijos'!$H$5:$H$12*'7. Pasirinktinis scenarijus'!$C$6),0)+('2. Investicijos'!$H$5:$H$12*'7. Pasirinktinis scenarijus'!$C$6))/'2. Investicijos'!$G$5:$G$12,0))+SUMPRODUCT(--(2034&gt;'2. Investicijos'!$F$5:$F$12),--(2034&lt;='2. Investicijos'!$F$5:$F$12+'2. Investicijos'!$G$5:$G$12),IFERROR(('2. Investicijos'!$M$5:$M$12+IF('2. Investicijos'!$N$5:$N$12&gt;('2. Investicijos'!$H$5:$H$12*'7. Pasirinktinis scenarijus'!$C$6),'2. Investicijos'!$N$5:$N$12-('2. Investicijos'!$H$5:$H$12*'7. Pasirinktinis scenarijus'!$C$6),0))*(1-((2034-'2. Investicijos'!$F$5:$F$12)-1)/'2. Investicijos'!$G$5:$G$12),0)*'5. 0% scenarijus'!$C$5)</f>
        <v>#VALUE!</v>
      </c>
      <c r="T118" s="62" t="e">
        <f>'3. Finansinės prielaidos'!K29+S118+G118</f>
        <v>#VALUE!</v>
      </c>
      <c r="U118" s="62" t="e">
        <f t="shared" si="56"/>
        <v>#VALUE!</v>
      </c>
      <c r="V118" s="72" t="e">
        <f t="shared" si="57"/>
        <v>#VALUE!</v>
      </c>
      <c r="W118" s="72" t="e">
        <f t="shared" si="58"/>
        <v>#VALUE!</v>
      </c>
      <c r="X118" s="57" t="e">
        <f t="shared" si="59"/>
        <v>#VALUE!</v>
      </c>
      <c r="Y118" s="57" t="e">
        <f t="shared" si="60"/>
        <v>#VALUE!</v>
      </c>
      <c r="Z118" s="57"/>
      <c r="AA118" s="57"/>
      <c r="AB118" s="57"/>
      <c r="AC118" s="57"/>
      <c r="AD118" s="57"/>
      <c r="AE118" s="57"/>
      <c r="AF118" s="57"/>
      <c r="AG118" s="57"/>
      <c r="AH118" s="57"/>
      <c r="AI118" s="57"/>
      <c r="AJ118" s="57"/>
      <c r="AK118" s="57"/>
      <c r="AL118" s="57"/>
      <c r="AM118" s="57"/>
      <c r="AN118" s="57"/>
      <c r="AO118" s="57"/>
      <c r="AP118" s="57"/>
      <c r="AQ118" s="57"/>
      <c r="AR118" s="57"/>
      <c r="AS118" s="57"/>
    </row>
    <row r="119" spans="1:45">
      <c r="A119" s="57">
        <v>8</v>
      </c>
      <c r="B119" s="57">
        <v>2035</v>
      </c>
      <c r="C119" s="62">
        <f>SUM('4. Metinis CAPEX'!O$9:O$16)</f>
        <v>0</v>
      </c>
      <c r="D119" s="62" cm="1">
        <f t="array" ref="D119">SUMPRODUCT('4. Metinis CAPEX'!O$9:O$16,IFERROR('2. Investicijos'!$N$5:$N$12/'2. Investicijos'!$H$5:$H$12,0))</f>
        <v>0</v>
      </c>
      <c r="E119" s="62" cm="1">
        <f t="array" ref="E119">SUMPRODUCT('4. Metinis CAPEX'!O$9:O$16,IFERROR(('2. Investicijos'!$I$5:$I$12+'2. Investicijos'!$J$5:$J$12+'2. Investicijos'!$K$5:$K$12+'2. Investicijos'!$L$5:$L$12)/'2. Investicijos'!$H$5:$H$12,0))</f>
        <v>0</v>
      </c>
      <c r="F119" s="62" cm="1">
        <f t="array" ref="F119">SUM('2. Investicijos'!$H$5:$H$12*'7. Pasirinktinis scenarijus'!$C$6)</f>
        <v>0</v>
      </c>
      <c r="G119" s="62" cm="1">
        <f t="array" ref="G119">IF(AND(2035&gt;=2026,2035&lt;2026+'7. Pasirinktinis scenarijus'!$C$5),SUM('2. Investicijos'!$H$5:$H$12*'7. Pasirinktinis scenarijus'!$C$6)/'7. Pasirinktinis scenarijus'!$C$5,0)</f>
        <v>0</v>
      </c>
      <c r="H119" s="62">
        <f t="shared" si="54"/>
        <v>0</v>
      </c>
      <c r="I119" s="62">
        <f>SUM(O$5:O$12)</f>
        <v>0</v>
      </c>
      <c r="J119" s="62" t="e" cm="1">
        <f t="array" ref="J119">K119+L119+MAX(0,-R118)*IFERROR(SUMPRODUCT(IF('2. Investicijos'!$N$5:$N$12&gt;('2. Investicijos'!$H$5:$H$12*'7. Pasirinktinis scenarijus'!$C$6),'2. Investicijos'!$N$5:$N$12-('2. Investicijos'!$H$5:$H$12*'7. Pasirinktinis scenarijus'!$C$6),0),'2. Investicijos'!$O$5:$O$12/100)/SUM(IF('2. Investicijos'!$N$5:$N$12&gt;('2. Investicijos'!$H$5:$H$12*'7. Pasirinktinis scenarijus'!$C$6),'2. Investicijos'!$N$5:$N$12-('2. Investicijos'!$H$5:$H$12*'7. Pasirinktinis scenarijus'!$C$6),0)),0)</f>
        <v>#VALUE!</v>
      </c>
      <c r="K119" s="62">
        <f>SUM(AI$5:AI$12)</f>
        <v>0</v>
      </c>
      <c r="L119" s="62">
        <f>SUM(Y$5:Y$12)</f>
        <v>0</v>
      </c>
      <c r="M119" s="62">
        <f>SUM(AS$5:AS$12)</f>
        <v>0</v>
      </c>
      <c r="N119" s="62">
        <f>'3. Finansinės prielaidos'!L30+M119</f>
        <v>0</v>
      </c>
      <c r="O119" s="62">
        <f>'3. Finansinės prielaidos'!L31</f>
        <v>0</v>
      </c>
      <c r="P119" s="62">
        <f>'3. Finansinės prielaidos'!L32</f>
        <v>0</v>
      </c>
      <c r="Q119" s="62" t="e">
        <f t="shared" si="55"/>
        <v>#VALUE!</v>
      </c>
      <c r="R119" s="62" t="e">
        <f>R118+('3. Finansinės prielaidos'!L31-'3. Finansinės prielaidos'!K31)+Q119</f>
        <v>#VALUE!</v>
      </c>
      <c r="S119" s="62" t="e" cm="1">
        <f t="array" ref="S119">SUMPRODUCT(--(2035&gt;'2. Investicijos'!$F$5:$F$12),--(2035&lt;='2. Investicijos'!$F$5:$F$12+'2. Investicijos'!$G$5:$G$12),IFERROR(('2. Investicijos'!$M$5:$M$12+IF('2. Investicijos'!$N$5:$N$12&gt;('2. Investicijos'!$H$5:$H$12*'7. Pasirinktinis scenarijus'!$C$6),'2. Investicijos'!$N$5:$N$12-('2. Investicijos'!$H$5:$H$12*'7. Pasirinktinis scenarijus'!$C$6),0)+('2. Investicijos'!$H$5:$H$12*'7. Pasirinktinis scenarijus'!$C$6))/'2. Investicijos'!$G$5:$G$12,0))+SUMPRODUCT(--(2035&gt;'2. Investicijos'!$F$5:$F$12),--(2035&lt;='2. Investicijos'!$F$5:$F$12+'2. Investicijos'!$G$5:$G$12),IFERROR(('2. Investicijos'!$M$5:$M$12+IF('2. Investicijos'!$N$5:$N$12&gt;('2. Investicijos'!$H$5:$H$12*'7. Pasirinktinis scenarijus'!$C$6),'2. Investicijos'!$N$5:$N$12-('2. Investicijos'!$H$5:$H$12*'7. Pasirinktinis scenarijus'!$C$6),0))*(1-((2035-'2. Investicijos'!$F$5:$F$12)-1)/'2. Investicijos'!$G$5:$G$12),0)*'5. 0% scenarijus'!$C$5)</f>
        <v>#VALUE!</v>
      </c>
      <c r="T119" s="62" t="e">
        <f>'3. Finansinės prielaidos'!L29+S119+G119</f>
        <v>#VALUE!</v>
      </c>
      <c r="U119" s="62" t="e">
        <f t="shared" si="56"/>
        <v>#VALUE!</v>
      </c>
      <c r="V119" s="72" t="e">
        <f t="shared" si="57"/>
        <v>#VALUE!</v>
      </c>
      <c r="W119" s="72" t="e">
        <f t="shared" si="58"/>
        <v>#VALUE!</v>
      </c>
      <c r="X119" s="57" t="e">
        <f t="shared" si="59"/>
        <v>#VALUE!</v>
      </c>
      <c r="Y119" s="57" t="e">
        <f t="shared" si="60"/>
        <v>#VALUE!</v>
      </c>
      <c r="Z119" s="57"/>
      <c r="AA119" s="57"/>
      <c r="AB119" s="57"/>
      <c r="AC119" s="57"/>
      <c r="AD119" s="57"/>
      <c r="AE119" s="57"/>
      <c r="AF119" s="57"/>
      <c r="AG119" s="57"/>
      <c r="AH119" s="57"/>
      <c r="AI119" s="57"/>
      <c r="AJ119" s="57"/>
      <c r="AK119" s="57"/>
      <c r="AL119" s="57"/>
      <c r="AM119" s="57"/>
      <c r="AN119" s="57"/>
      <c r="AO119" s="57"/>
      <c r="AP119" s="57"/>
      <c r="AQ119" s="57"/>
      <c r="AR119" s="57"/>
      <c r="AS119" s="57"/>
    </row>
    <row r="120" spans="1:45">
      <c r="A120" s="57">
        <v>9</v>
      </c>
      <c r="B120" s="57">
        <v>2026</v>
      </c>
      <c r="C120" s="62">
        <f>SUM('4. Metinis CAPEX'!F$9:F$17)</f>
        <v>0</v>
      </c>
      <c r="D120" s="62" cm="1">
        <f t="array" ref="D120">SUMPRODUCT('4. Metinis CAPEX'!F$9:F$17,IFERROR('2. Investicijos'!$N$5:$N$13/'2. Investicijos'!$H$5:$H$13,0))</f>
        <v>0</v>
      </c>
      <c r="E120" s="62" cm="1">
        <f t="array" ref="E120">SUMPRODUCT('4. Metinis CAPEX'!F$9:F$17,IFERROR(('2. Investicijos'!$I$5:$I$13+'2. Investicijos'!$J$5:$J$13+'2. Investicijos'!$K$5:$K$13+'2. Investicijos'!$L$5:$L$13)/'2. Investicijos'!$H$5:$H$13,0))</f>
        <v>0</v>
      </c>
      <c r="F120" s="62" cm="1">
        <f t="array" ref="F120">SUM('2. Investicijos'!$H$5:$H$13*'7. Pasirinktinis scenarijus'!$C$6)</f>
        <v>0</v>
      </c>
      <c r="G120" s="62" cm="1">
        <f t="array" ref="G120">IF(AND(2026&gt;=2026,2026&lt;2026+'7. Pasirinktinis scenarijus'!$C$5),SUM('2. Investicijos'!$H$5:$H$13*'7. Pasirinktinis scenarijus'!$C$6)/'7. Pasirinktinis scenarijus'!$C$5,0)</f>
        <v>0</v>
      </c>
      <c r="H120" s="62">
        <f t="shared" si="54"/>
        <v>0</v>
      </c>
      <c r="I120" s="62">
        <f>SUM(F$5:F$13)</f>
        <v>0</v>
      </c>
      <c r="J120" s="62">
        <f>0</f>
        <v>0</v>
      </c>
      <c r="K120" s="62">
        <f>SUM(Z$5:Z$13)</f>
        <v>0</v>
      </c>
      <c r="L120" s="62">
        <f>SUM(P$5:P$13)</f>
        <v>0</v>
      </c>
      <c r="M120" s="62">
        <f>SUM(AJ$5:AJ$13)</f>
        <v>0</v>
      </c>
      <c r="N120" s="62">
        <f>'3. Finansinės prielaidos'!C30+M120</f>
        <v>0</v>
      </c>
      <c r="O120" s="62">
        <f>'3. Finansinės prielaidos'!C31</f>
        <v>0</v>
      </c>
      <c r="P120" s="62">
        <f>'3. Finansinės prielaidos'!C32</f>
        <v>0</v>
      </c>
      <c r="Q120" s="62" t="e">
        <f t="shared" si="55"/>
        <v>#VALUE!</v>
      </c>
      <c r="R120" s="62" t="e">
        <f>O120+Q120</f>
        <v>#VALUE!</v>
      </c>
      <c r="S120" s="62" t="e" cm="1">
        <f t="array" ref="S120">SUMPRODUCT(--(2026&gt;'2. Investicijos'!$F$5:$F$13),--(2026&lt;='2. Investicijos'!$F$5:$F$13+'2. Investicijos'!$G$5:$G$13),IFERROR(('2. Investicijos'!$M$5:$M$13+IF('2. Investicijos'!$N$5:$N$13&gt;('2. Investicijos'!$H$5:$H$13*'7. Pasirinktinis scenarijus'!$C$6),'2. Investicijos'!$N$5:$N$13-('2. Investicijos'!$H$5:$H$13*'7. Pasirinktinis scenarijus'!$C$6),0)+('2. Investicijos'!$H$5:$H$13*'7. Pasirinktinis scenarijus'!$C$6))/'2. Investicijos'!$G$5:$G$13,0))+SUMPRODUCT(--(2026&gt;'2. Investicijos'!$F$5:$F$13),--(2026&lt;='2. Investicijos'!$F$5:$F$13+'2. Investicijos'!$G$5:$G$13),IFERROR(('2. Investicijos'!$M$5:$M$13+IF('2. Investicijos'!$N$5:$N$13&gt;('2. Investicijos'!$H$5:$H$13*'7. Pasirinktinis scenarijus'!$C$6),'2. Investicijos'!$N$5:$N$13-('2. Investicijos'!$H$5:$H$13*'7. Pasirinktinis scenarijus'!$C$6),0))*(1-((2026-'2. Investicijos'!$F$5:$F$13)-1)/'2. Investicijos'!$G$5:$G$13),0)*'5. 0% scenarijus'!$C$5)</f>
        <v>#VALUE!</v>
      </c>
      <c r="T120" s="62" t="e">
        <f>'3. Finansinės prielaidos'!C29+S120+G120</f>
        <v>#VALUE!</v>
      </c>
      <c r="U120" s="62" t="e">
        <f t="shared" si="56"/>
        <v>#VALUE!</v>
      </c>
      <c r="V120" s="72" t="e">
        <f t="shared" si="57"/>
        <v>#VALUE!</v>
      </c>
      <c r="W120" s="72" t="e">
        <f t="shared" si="58"/>
        <v>#VALUE!</v>
      </c>
      <c r="X120" s="57" t="e">
        <f t="shared" si="59"/>
        <v>#VALUE!</v>
      </c>
      <c r="Y120" s="57" t="e">
        <f t="shared" si="60"/>
        <v>#VALUE!</v>
      </c>
      <c r="Z120" s="57"/>
      <c r="AA120" s="57"/>
      <c r="AB120" s="57"/>
      <c r="AC120" s="57"/>
      <c r="AD120" s="57"/>
      <c r="AE120" s="57"/>
      <c r="AF120" s="57"/>
      <c r="AG120" s="57"/>
      <c r="AH120" s="57"/>
      <c r="AI120" s="57"/>
      <c r="AJ120" s="57"/>
      <c r="AK120" s="57"/>
      <c r="AL120" s="57"/>
      <c r="AM120" s="57"/>
      <c r="AN120" s="57"/>
      <c r="AO120" s="57"/>
      <c r="AP120" s="57"/>
      <c r="AQ120" s="57"/>
      <c r="AR120" s="57"/>
      <c r="AS120" s="57"/>
    </row>
    <row r="121" spans="1:45">
      <c r="A121" s="57">
        <v>9</v>
      </c>
      <c r="B121" s="57">
        <v>2027</v>
      </c>
      <c r="C121" s="62">
        <f>SUM('4. Metinis CAPEX'!G$9:G$17)</f>
        <v>0</v>
      </c>
      <c r="D121" s="62" cm="1">
        <f t="array" ref="D121">SUMPRODUCT('4. Metinis CAPEX'!G$9:G$17,IFERROR('2. Investicijos'!$N$5:$N$13/'2. Investicijos'!$H$5:$H$13,0))</f>
        <v>0</v>
      </c>
      <c r="E121" s="62" cm="1">
        <f t="array" ref="E121">SUMPRODUCT('4. Metinis CAPEX'!G$9:G$17,IFERROR(('2. Investicijos'!$I$5:$I$13+'2. Investicijos'!$J$5:$J$13+'2. Investicijos'!$K$5:$K$13+'2. Investicijos'!$L$5:$L$13)/'2. Investicijos'!$H$5:$H$13,0))</f>
        <v>0</v>
      </c>
      <c r="F121" s="62" cm="1">
        <f t="array" ref="F121">SUM('2. Investicijos'!$H$5:$H$13*'7. Pasirinktinis scenarijus'!$C$6)</f>
        <v>0</v>
      </c>
      <c r="G121" s="62" cm="1">
        <f t="array" ref="G121">IF(AND(2027&gt;=2026,2027&lt;2026+'7. Pasirinktinis scenarijus'!$C$5),SUM('2. Investicijos'!$H$5:$H$13*'7. Pasirinktinis scenarijus'!$C$6)/'7. Pasirinktinis scenarijus'!$C$5,0)</f>
        <v>0</v>
      </c>
      <c r="H121" s="62">
        <f t="shared" si="54"/>
        <v>0</v>
      </c>
      <c r="I121" s="62">
        <f>SUM(G$5:G$13)</f>
        <v>0</v>
      </c>
      <c r="J121" s="62" t="e" cm="1">
        <f t="array" ref="J121">K121+L121+MAX(0,-R120)*IFERROR(SUMPRODUCT(IF('2. Investicijos'!$N$5:$N$13&gt;('2. Investicijos'!$H$5:$H$13*'7. Pasirinktinis scenarijus'!$C$6),'2. Investicijos'!$N$5:$N$13-('2. Investicijos'!$H$5:$H$13*'7. Pasirinktinis scenarijus'!$C$6),0),'2. Investicijos'!$O$5:$O$13/100)/SUM(IF('2. Investicijos'!$N$5:$N$13&gt;('2. Investicijos'!$H$5:$H$13*'7. Pasirinktinis scenarijus'!$C$6),'2. Investicijos'!$N$5:$N$13-('2. Investicijos'!$H$5:$H$13*'7. Pasirinktinis scenarijus'!$C$6),0)),0)</f>
        <v>#VALUE!</v>
      </c>
      <c r="K121" s="62">
        <f>SUM(AA$5:AA$13)</f>
        <v>0</v>
      </c>
      <c r="L121" s="62">
        <f>SUM(Q$5:Q$13)</f>
        <v>0</v>
      </c>
      <c r="M121" s="62">
        <f>SUM(AK$5:AK$13)</f>
        <v>0</v>
      </c>
      <c r="N121" s="62">
        <f>'3. Finansinės prielaidos'!D30+M121</f>
        <v>0</v>
      </c>
      <c r="O121" s="62">
        <f>'3. Finansinės prielaidos'!D31</f>
        <v>0</v>
      </c>
      <c r="P121" s="62">
        <f>'3. Finansinės prielaidos'!D32</f>
        <v>0</v>
      </c>
      <c r="Q121" s="62" t="e">
        <f t="shared" si="55"/>
        <v>#VALUE!</v>
      </c>
      <c r="R121" s="62" t="e">
        <f>R120+('3. Finansinės prielaidos'!D31-'3. Finansinės prielaidos'!C31)+Q121</f>
        <v>#VALUE!</v>
      </c>
      <c r="S121" s="62" t="e" cm="1">
        <f t="array" ref="S121">SUMPRODUCT(--(2027&gt;'2. Investicijos'!$F$5:$F$13),--(2027&lt;='2. Investicijos'!$F$5:$F$13+'2. Investicijos'!$G$5:$G$13),IFERROR(('2. Investicijos'!$M$5:$M$13+IF('2. Investicijos'!$N$5:$N$13&gt;('2. Investicijos'!$H$5:$H$13*'7. Pasirinktinis scenarijus'!$C$6),'2. Investicijos'!$N$5:$N$13-('2. Investicijos'!$H$5:$H$13*'7. Pasirinktinis scenarijus'!$C$6),0)+('2. Investicijos'!$H$5:$H$13*'7. Pasirinktinis scenarijus'!$C$6))/'2. Investicijos'!$G$5:$G$13,0))+SUMPRODUCT(--(2027&gt;'2. Investicijos'!$F$5:$F$13),--(2027&lt;='2. Investicijos'!$F$5:$F$13+'2. Investicijos'!$G$5:$G$13),IFERROR(('2. Investicijos'!$M$5:$M$13+IF('2. Investicijos'!$N$5:$N$13&gt;('2. Investicijos'!$H$5:$H$13*'7. Pasirinktinis scenarijus'!$C$6),'2. Investicijos'!$N$5:$N$13-('2. Investicijos'!$H$5:$H$13*'7. Pasirinktinis scenarijus'!$C$6),0))*(1-((2027-'2. Investicijos'!$F$5:$F$13)-1)/'2. Investicijos'!$G$5:$G$13),0)*'5. 0% scenarijus'!$C$5)</f>
        <v>#VALUE!</v>
      </c>
      <c r="T121" s="62" t="e">
        <f>'3. Finansinės prielaidos'!D29+S121+G121</f>
        <v>#VALUE!</v>
      </c>
      <c r="U121" s="62" t="e">
        <f t="shared" si="56"/>
        <v>#VALUE!</v>
      </c>
      <c r="V121" s="72" t="e">
        <f t="shared" si="57"/>
        <v>#VALUE!</v>
      </c>
      <c r="W121" s="72" t="e">
        <f t="shared" si="58"/>
        <v>#VALUE!</v>
      </c>
      <c r="X121" s="57" t="e">
        <f t="shared" si="59"/>
        <v>#VALUE!</v>
      </c>
      <c r="Y121" s="57" t="e">
        <f t="shared" si="60"/>
        <v>#VALUE!</v>
      </c>
      <c r="Z121" s="57"/>
      <c r="AA121" s="57"/>
      <c r="AB121" s="57"/>
      <c r="AC121" s="57"/>
      <c r="AD121" s="57"/>
      <c r="AE121" s="57"/>
      <c r="AF121" s="57"/>
      <c r="AG121" s="57"/>
      <c r="AH121" s="57"/>
      <c r="AI121" s="57"/>
      <c r="AJ121" s="57"/>
      <c r="AK121" s="57"/>
      <c r="AL121" s="57"/>
      <c r="AM121" s="57"/>
      <c r="AN121" s="57"/>
      <c r="AO121" s="57"/>
      <c r="AP121" s="57"/>
      <c r="AQ121" s="57"/>
      <c r="AR121" s="57"/>
      <c r="AS121" s="57"/>
    </row>
    <row r="122" spans="1:45">
      <c r="A122" s="57">
        <v>9</v>
      </c>
      <c r="B122" s="57">
        <v>2028</v>
      </c>
      <c r="C122" s="62">
        <f>SUM('4. Metinis CAPEX'!H$9:H$17)</f>
        <v>0</v>
      </c>
      <c r="D122" s="62" cm="1">
        <f t="array" ref="D122">SUMPRODUCT('4. Metinis CAPEX'!H$9:H$17,IFERROR('2. Investicijos'!$N$5:$N$13/'2. Investicijos'!$H$5:$H$13,0))</f>
        <v>0</v>
      </c>
      <c r="E122" s="62" cm="1">
        <f t="array" ref="E122">SUMPRODUCT('4. Metinis CAPEX'!H$9:H$17,IFERROR(('2. Investicijos'!$I$5:$I$13+'2. Investicijos'!$J$5:$J$13+'2. Investicijos'!$K$5:$K$13+'2. Investicijos'!$L$5:$L$13)/'2. Investicijos'!$H$5:$H$13,0))</f>
        <v>0</v>
      </c>
      <c r="F122" s="62" cm="1">
        <f t="array" ref="F122">SUM('2. Investicijos'!$H$5:$H$13*'7. Pasirinktinis scenarijus'!$C$6)</f>
        <v>0</v>
      </c>
      <c r="G122" s="62" cm="1">
        <f t="array" ref="G122">IF(AND(2028&gt;=2026,2028&lt;2026+'7. Pasirinktinis scenarijus'!$C$5),SUM('2. Investicijos'!$H$5:$H$13*'7. Pasirinktinis scenarijus'!$C$6)/'7. Pasirinktinis scenarijus'!$C$5,0)</f>
        <v>0</v>
      </c>
      <c r="H122" s="62">
        <f t="shared" si="54"/>
        <v>0</v>
      </c>
      <c r="I122" s="62">
        <f>SUM(H$5:H$13)</f>
        <v>0</v>
      </c>
      <c r="J122" s="62" t="e" cm="1">
        <f t="array" ref="J122">K122+L122+MAX(0,-R121)*IFERROR(SUMPRODUCT(IF('2. Investicijos'!$N$5:$N$13&gt;('2. Investicijos'!$H$5:$H$13*'7. Pasirinktinis scenarijus'!$C$6),'2. Investicijos'!$N$5:$N$13-('2. Investicijos'!$H$5:$H$13*'7. Pasirinktinis scenarijus'!$C$6),0),'2. Investicijos'!$O$5:$O$13/100)/SUM(IF('2. Investicijos'!$N$5:$N$13&gt;('2. Investicijos'!$H$5:$H$13*'7. Pasirinktinis scenarijus'!$C$6),'2. Investicijos'!$N$5:$N$13-('2. Investicijos'!$H$5:$H$13*'7. Pasirinktinis scenarijus'!$C$6),0)),0)</f>
        <v>#VALUE!</v>
      </c>
      <c r="K122" s="62">
        <f>SUM(AB$5:AB$13)</f>
        <v>0</v>
      </c>
      <c r="L122" s="62">
        <f>SUM(R$5:R$13)</f>
        <v>0</v>
      </c>
      <c r="M122" s="62">
        <f>SUM(AL$5:AL$13)</f>
        <v>0</v>
      </c>
      <c r="N122" s="62">
        <f>'3. Finansinės prielaidos'!E30+M122</f>
        <v>0</v>
      </c>
      <c r="O122" s="62">
        <f>'3. Finansinės prielaidos'!E31</f>
        <v>0</v>
      </c>
      <c r="P122" s="62">
        <f>'3. Finansinės prielaidos'!E32</f>
        <v>0</v>
      </c>
      <c r="Q122" s="62" t="e">
        <f t="shared" si="55"/>
        <v>#VALUE!</v>
      </c>
      <c r="R122" s="62" t="e">
        <f>R121+('3. Finansinės prielaidos'!E31-'3. Finansinės prielaidos'!D31)+Q122</f>
        <v>#VALUE!</v>
      </c>
      <c r="S122" s="62" t="e" cm="1">
        <f t="array" ref="S122">SUMPRODUCT(--(2028&gt;'2. Investicijos'!$F$5:$F$13),--(2028&lt;='2. Investicijos'!$F$5:$F$13+'2. Investicijos'!$G$5:$G$13),IFERROR(('2. Investicijos'!$M$5:$M$13+IF('2. Investicijos'!$N$5:$N$13&gt;('2. Investicijos'!$H$5:$H$13*'7. Pasirinktinis scenarijus'!$C$6),'2. Investicijos'!$N$5:$N$13-('2. Investicijos'!$H$5:$H$13*'7. Pasirinktinis scenarijus'!$C$6),0)+('2. Investicijos'!$H$5:$H$13*'7. Pasirinktinis scenarijus'!$C$6))/'2. Investicijos'!$G$5:$G$13,0))+SUMPRODUCT(--(2028&gt;'2. Investicijos'!$F$5:$F$13),--(2028&lt;='2. Investicijos'!$F$5:$F$13+'2. Investicijos'!$G$5:$G$13),IFERROR(('2. Investicijos'!$M$5:$M$13+IF('2. Investicijos'!$N$5:$N$13&gt;('2. Investicijos'!$H$5:$H$13*'7. Pasirinktinis scenarijus'!$C$6),'2. Investicijos'!$N$5:$N$13-('2. Investicijos'!$H$5:$H$13*'7. Pasirinktinis scenarijus'!$C$6),0))*(1-((2028-'2. Investicijos'!$F$5:$F$13)-1)/'2. Investicijos'!$G$5:$G$13),0)*'5. 0% scenarijus'!$C$5)</f>
        <v>#VALUE!</v>
      </c>
      <c r="T122" s="62" t="e">
        <f>'3. Finansinės prielaidos'!E29+S122+G122</f>
        <v>#VALUE!</v>
      </c>
      <c r="U122" s="62" t="e">
        <f t="shared" si="56"/>
        <v>#VALUE!</v>
      </c>
      <c r="V122" s="72" t="e">
        <f t="shared" si="57"/>
        <v>#VALUE!</v>
      </c>
      <c r="W122" s="72" t="e">
        <f t="shared" si="58"/>
        <v>#VALUE!</v>
      </c>
      <c r="X122" s="57" t="e">
        <f t="shared" si="59"/>
        <v>#VALUE!</v>
      </c>
      <c r="Y122" s="57" t="e">
        <f t="shared" si="60"/>
        <v>#VALUE!</v>
      </c>
      <c r="Z122" s="57"/>
      <c r="AA122" s="57"/>
      <c r="AB122" s="57"/>
      <c r="AC122" s="57"/>
      <c r="AD122" s="57"/>
      <c r="AE122" s="57"/>
      <c r="AF122" s="57"/>
      <c r="AG122" s="57"/>
      <c r="AH122" s="57"/>
      <c r="AI122" s="57"/>
      <c r="AJ122" s="57"/>
      <c r="AK122" s="57"/>
      <c r="AL122" s="57"/>
      <c r="AM122" s="57"/>
      <c r="AN122" s="57"/>
      <c r="AO122" s="57"/>
      <c r="AP122" s="57"/>
      <c r="AQ122" s="57"/>
      <c r="AR122" s="57"/>
      <c r="AS122" s="57"/>
    </row>
    <row r="123" spans="1:45">
      <c r="A123" s="57">
        <v>9</v>
      </c>
      <c r="B123" s="57">
        <v>2029</v>
      </c>
      <c r="C123" s="62">
        <f>SUM('4. Metinis CAPEX'!I$9:I$17)</f>
        <v>0</v>
      </c>
      <c r="D123" s="62" cm="1">
        <f t="array" ref="D123">SUMPRODUCT('4. Metinis CAPEX'!I$9:I$17,IFERROR('2. Investicijos'!$N$5:$N$13/'2. Investicijos'!$H$5:$H$13,0))</f>
        <v>0</v>
      </c>
      <c r="E123" s="62" cm="1">
        <f t="array" ref="E123">SUMPRODUCT('4. Metinis CAPEX'!I$9:I$17,IFERROR(('2. Investicijos'!$I$5:$I$13+'2. Investicijos'!$J$5:$J$13+'2. Investicijos'!$K$5:$K$13+'2. Investicijos'!$L$5:$L$13)/'2. Investicijos'!$H$5:$H$13,0))</f>
        <v>0</v>
      </c>
      <c r="F123" s="62" cm="1">
        <f t="array" ref="F123">SUM('2. Investicijos'!$H$5:$H$13*'7. Pasirinktinis scenarijus'!$C$6)</f>
        <v>0</v>
      </c>
      <c r="G123" s="62" cm="1">
        <f t="array" ref="G123">IF(AND(2029&gt;=2026,2029&lt;2026+'7. Pasirinktinis scenarijus'!$C$5),SUM('2. Investicijos'!$H$5:$H$13*'7. Pasirinktinis scenarijus'!$C$6)/'7. Pasirinktinis scenarijus'!$C$5,0)</f>
        <v>0</v>
      </c>
      <c r="H123" s="62">
        <f t="shared" si="54"/>
        <v>0</v>
      </c>
      <c r="I123" s="62">
        <f>SUM(I$5:I$13)</f>
        <v>0</v>
      </c>
      <c r="J123" s="62" t="e" cm="1">
        <f t="array" ref="J123">K123+L123+MAX(0,-R122)*IFERROR(SUMPRODUCT(IF('2. Investicijos'!$N$5:$N$13&gt;('2. Investicijos'!$H$5:$H$13*'7. Pasirinktinis scenarijus'!$C$6),'2. Investicijos'!$N$5:$N$13-('2. Investicijos'!$H$5:$H$13*'7. Pasirinktinis scenarijus'!$C$6),0),'2. Investicijos'!$O$5:$O$13/100)/SUM(IF('2. Investicijos'!$N$5:$N$13&gt;('2. Investicijos'!$H$5:$H$13*'7. Pasirinktinis scenarijus'!$C$6),'2. Investicijos'!$N$5:$N$13-('2. Investicijos'!$H$5:$H$13*'7. Pasirinktinis scenarijus'!$C$6),0)),0)</f>
        <v>#VALUE!</v>
      </c>
      <c r="K123" s="62">
        <f>SUM(AC$5:AC$13)</f>
        <v>0</v>
      </c>
      <c r="L123" s="62">
        <f>SUM(S$5:S$13)</f>
        <v>0</v>
      </c>
      <c r="M123" s="62">
        <f>SUM(AM$5:AM$13)</f>
        <v>0</v>
      </c>
      <c r="N123" s="62">
        <f>'3. Finansinės prielaidos'!F30+M123</f>
        <v>0</v>
      </c>
      <c r="O123" s="62">
        <f>'3. Finansinės prielaidos'!F31</f>
        <v>0</v>
      </c>
      <c r="P123" s="62">
        <f>'3. Finansinės prielaidos'!F32</f>
        <v>0</v>
      </c>
      <c r="Q123" s="62" t="e">
        <f t="shared" si="55"/>
        <v>#VALUE!</v>
      </c>
      <c r="R123" s="62" t="e">
        <f>R122+('3. Finansinės prielaidos'!F31-'3. Finansinės prielaidos'!E31)+Q123</f>
        <v>#VALUE!</v>
      </c>
      <c r="S123" s="62" t="e" cm="1">
        <f t="array" ref="S123">SUMPRODUCT(--(2029&gt;'2. Investicijos'!$F$5:$F$13),--(2029&lt;='2. Investicijos'!$F$5:$F$13+'2. Investicijos'!$G$5:$G$13),IFERROR(('2. Investicijos'!$M$5:$M$13+IF('2. Investicijos'!$N$5:$N$13&gt;('2. Investicijos'!$H$5:$H$13*'7. Pasirinktinis scenarijus'!$C$6),'2. Investicijos'!$N$5:$N$13-('2. Investicijos'!$H$5:$H$13*'7. Pasirinktinis scenarijus'!$C$6),0)+('2. Investicijos'!$H$5:$H$13*'7. Pasirinktinis scenarijus'!$C$6))/'2. Investicijos'!$G$5:$G$13,0))+SUMPRODUCT(--(2029&gt;'2. Investicijos'!$F$5:$F$13),--(2029&lt;='2. Investicijos'!$F$5:$F$13+'2. Investicijos'!$G$5:$G$13),IFERROR(('2. Investicijos'!$M$5:$M$13+IF('2. Investicijos'!$N$5:$N$13&gt;('2. Investicijos'!$H$5:$H$13*'7. Pasirinktinis scenarijus'!$C$6),'2. Investicijos'!$N$5:$N$13-('2. Investicijos'!$H$5:$H$13*'7. Pasirinktinis scenarijus'!$C$6),0))*(1-((2029-'2. Investicijos'!$F$5:$F$13)-1)/'2. Investicijos'!$G$5:$G$13),0)*'5. 0% scenarijus'!$C$5)</f>
        <v>#VALUE!</v>
      </c>
      <c r="T123" s="62" t="e">
        <f>'3. Finansinės prielaidos'!F29+S123+G123</f>
        <v>#VALUE!</v>
      </c>
      <c r="U123" s="62" t="e">
        <f t="shared" si="56"/>
        <v>#VALUE!</v>
      </c>
      <c r="V123" s="72" t="e">
        <f t="shared" si="57"/>
        <v>#VALUE!</v>
      </c>
      <c r="W123" s="72" t="e">
        <f t="shared" si="58"/>
        <v>#VALUE!</v>
      </c>
      <c r="X123" s="57" t="e">
        <f t="shared" si="59"/>
        <v>#VALUE!</v>
      </c>
      <c r="Y123" s="57" t="e">
        <f t="shared" si="60"/>
        <v>#VALUE!</v>
      </c>
      <c r="Z123" s="57"/>
      <c r="AA123" s="57"/>
      <c r="AB123" s="57"/>
      <c r="AC123" s="57"/>
      <c r="AD123" s="57"/>
      <c r="AE123" s="57"/>
      <c r="AF123" s="57"/>
      <c r="AG123" s="57"/>
      <c r="AH123" s="57"/>
      <c r="AI123" s="57"/>
      <c r="AJ123" s="57"/>
      <c r="AK123" s="57"/>
      <c r="AL123" s="57"/>
      <c r="AM123" s="57"/>
      <c r="AN123" s="57"/>
      <c r="AO123" s="57"/>
      <c r="AP123" s="57"/>
      <c r="AQ123" s="57"/>
      <c r="AR123" s="57"/>
      <c r="AS123" s="57"/>
    </row>
    <row r="124" spans="1:45">
      <c r="A124" s="57">
        <v>9</v>
      </c>
      <c r="B124" s="57">
        <v>2030</v>
      </c>
      <c r="C124" s="62">
        <f>SUM('4. Metinis CAPEX'!J$9:J$17)</f>
        <v>0</v>
      </c>
      <c r="D124" s="62" cm="1">
        <f t="array" ref="D124">SUMPRODUCT('4. Metinis CAPEX'!J$9:J$17,IFERROR('2. Investicijos'!$N$5:$N$13/'2. Investicijos'!$H$5:$H$13,0))</f>
        <v>0</v>
      </c>
      <c r="E124" s="62" cm="1">
        <f t="array" ref="E124">SUMPRODUCT('4. Metinis CAPEX'!J$9:J$17,IFERROR(('2. Investicijos'!$I$5:$I$13+'2. Investicijos'!$J$5:$J$13+'2. Investicijos'!$K$5:$K$13+'2. Investicijos'!$L$5:$L$13)/'2. Investicijos'!$H$5:$H$13,0))</f>
        <v>0</v>
      </c>
      <c r="F124" s="62" cm="1">
        <f t="array" ref="F124">SUM('2. Investicijos'!$H$5:$H$13*'7. Pasirinktinis scenarijus'!$C$6)</f>
        <v>0</v>
      </c>
      <c r="G124" s="62" cm="1">
        <f t="array" ref="G124">IF(AND(2030&gt;=2026,2030&lt;2026+'7. Pasirinktinis scenarijus'!$C$5),SUM('2. Investicijos'!$H$5:$H$13*'7. Pasirinktinis scenarijus'!$C$6)/'7. Pasirinktinis scenarijus'!$C$5,0)</f>
        <v>0</v>
      </c>
      <c r="H124" s="62">
        <f t="shared" si="54"/>
        <v>0</v>
      </c>
      <c r="I124" s="62">
        <f>SUM(J$5:J$13)</f>
        <v>0</v>
      </c>
      <c r="J124" s="62" t="e" cm="1">
        <f t="array" ref="J124">K124+L124+MAX(0,-R123)*IFERROR(SUMPRODUCT(IF('2. Investicijos'!$N$5:$N$13&gt;('2. Investicijos'!$H$5:$H$13*'7. Pasirinktinis scenarijus'!$C$6),'2. Investicijos'!$N$5:$N$13-('2. Investicijos'!$H$5:$H$13*'7. Pasirinktinis scenarijus'!$C$6),0),'2. Investicijos'!$O$5:$O$13/100)/SUM(IF('2. Investicijos'!$N$5:$N$13&gt;('2. Investicijos'!$H$5:$H$13*'7. Pasirinktinis scenarijus'!$C$6),'2. Investicijos'!$N$5:$N$13-('2. Investicijos'!$H$5:$H$13*'7. Pasirinktinis scenarijus'!$C$6),0)),0)</f>
        <v>#VALUE!</v>
      </c>
      <c r="K124" s="62">
        <f>SUM(AD$5:AD$13)</f>
        <v>0</v>
      </c>
      <c r="L124" s="62">
        <f>SUM(T$5:T$13)</f>
        <v>0</v>
      </c>
      <c r="M124" s="62">
        <f>SUM(AN$5:AN$13)</f>
        <v>0</v>
      </c>
      <c r="N124" s="62">
        <f>'3. Finansinės prielaidos'!G30+M124</f>
        <v>0</v>
      </c>
      <c r="O124" s="62">
        <f>'3. Finansinės prielaidos'!G31</f>
        <v>0</v>
      </c>
      <c r="P124" s="62">
        <f>'3. Finansinės prielaidos'!G32</f>
        <v>0</v>
      </c>
      <c r="Q124" s="62" t="e">
        <f t="shared" si="55"/>
        <v>#VALUE!</v>
      </c>
      <c r="R124" s="62" t="e">
        <f>R123+('3. Finansinės prielaidos'!G31-'3. Finansinės prielaidos'!F31)+Q124</f>
        <v>#VALUE!</v>
      </c>
      <c r="S124" s="62" t="e" cm="1">
        <f t="array" ref="S124">SUMPRODUCT(--(2030&gt;'2. Investicijos'!$F$5:$F$13),--(2030&lt;='2. Investicijos'!$F$5:$F$13+'2. Investicijos'!$G$5:$G$13),IFERROR(('2. Investicijos'!$M$5:$M$13+IF('2. Investicijos'!$N$5:$N$13&gt;('2. Investicijos'!$H$5:$H$13*'7. Pasirinktinis scenarijus'!$C$6),'2. Investicijos'!$N$5:$N$13-('2. Investicijos'!$H$5:$H$13*'7. Pasirinktinis scenarijus'!$C$6),0)+('2. Investicijos'!$H$5:$H$13*'7. Pasirinktinis scenarijus'!$C$6))/'2. Investicijos'!$G$5:$G$13,0))+SUMPRODUCT(--(2030&gt;'2. Investicijos'!$F$5:$F$13),--(2030&lt;='2. Investicijos'!$F$5:$F$13+'2. Investicijos'!$G$5:$G$13),IFERROR(('2. Investicijos'!$M$5:$M$13+IF('2. Investicijos'!$N$5:$N$13&gt;('2. Investicijos'!$H$5:$H$13*'7. Pasirinktinis scenarijus'!$C$6),'2. Investicijos'!$N$5:$N$13-('2. Investicijos'!$H$5:$H$13*'7. Pasirinktinis scenarijus'!$C$6),0))*(1-((2030-'2. Investicijos'!$F$5:$F$13)-1)/'2. Investicijos'!$G$5:$G$13),0)*'5. 0% scenarijus'!$C$5)</f>
        <v>#VALUE!</v>
      </c>
      <c r="T124" s="62" t="e">
        <f>'3. Finansinės prielaidos'!G29+S124+G124</f>
        <v>#VALUE!</v>
      </c>
      <c r="U124" s="62" t="e">
        <f t="shared" si="56"/>
        <v>#VALUE!</v>
      </c>
      <c r="V124" s="72" t="e">
        <f t="shared" si="57"/>
        <v>#VALUE!</v>
      </c>
      <c r="W124" s="72" t="e">
        <f t="shared" si="58"/>
        <v>#VALUE!</v>
      </c>
      <c r="X124" s="57" t="e">
        <f t="shared" si="59"/>
        <v>#VALUE!</v>
      </c>
      <c r="Y124" s="57" t="e">
        <f t="shared" si="60"/>
        <v>#VALUE!</v>
      </c>
      <c r="Z124" s="57"/>
      <c r="AA124" s="57"/>
      <c r="AB124" s="57"/>
      <c r="AC124" s="57"/>
      <c r="AD124" s="57"/>
      <c r="AE124" s="57"/>
      <c r="AF124" s="57"/>
      <c r="AG124" s="57"/>
      <c r="AH124" s="57"/>
      <c r="AI124" s="57"/>
      <c r="AJ124" s="57"/>
      <c r="AK124" s="57"/>
      <c r="AL124" s="57"/>
      <c r="AM124" s="57"/>
      <c r="AN124" s="57"/>
      <c r="AO124" s="57"/>
      <c r="AP124" s="57"/>
      <c r="AQ124" s="57"/>
      <c r="AR124" s="57"/>
      <c r="AS124" s="57"/>
    </row>
    <row r="125" spans="1:45">
      <c r="A125" s="57">
        <v>9</v>
      </c>
      <c r="B125" s="57">
        <v>2031</v>
      </c>
      <c r="C125" s="62">
        <f>SUM('4. Metinis CAPEX'!K$9:K$17)</f>
        <v>0</v>
      </c>
      <c r="D125" s="62" cm="1">
        <f t="array" ref="D125">SUMPRODUCT('4. Metinis CAPEX'!K$9:K$17,IFERROR('2. Investicijos'!$N$5:$N$13/'2. Investicijos'!$H$5:$H$13,0))</f>
        <v>0</v>
      </c>
      <c r="E125" s="62" cm="1">
        <f t="array" ref="E125">SUMPRODUCT('4. Metinis CAPEX'!K$9:K$17,IFERROR(('2. Investicijos'!$I$5:$I$13+'2. Investicijos'!$J$5:$J$13+'2. Investicijos'!$K$5:$K$13+'2. Investicijos'!$L$5:$L$13)/'2. Investicijos'!$H$5:$H$13,0))</f>
        <v>0</v>
      </c>
      <c r="F125" s="62" cm="1">
        <f t="array" ref="F125">SUM('2. Investicijos'!$H$5:$H$13*'7. Pasirinktinis scenarijus'!$C$6)</f>
        <v>0</v>
      </c>
      <c r="G125" s="62" cm="1">
        <f t="array" ref="G125">IF(AND(2031&gt;=2026,2031&lt;2026+'7. Pasirinktinis scenarijus'!$C$5),SUM('2. Investicijos'!$H$5:$H$13*'7. Pasirinktinis scenarijus'!$C$6)/'7. Pasirinktinis scenarijus'!$C$5,0)</f>
        <v>0</v>
      </c>
      <c r="H125" s="62">
        <f t="shared" si="54"/>
        <v>0</v>
      </c>
      <c r="I125" s="62">
        <f>SUM(K$5:K$13)</f>
        <v>0</v>
      </c>
      <c r="J125" s="62" t="e" cm="1">
        <f t="array" ref="J125">K125+L125+MAX(0,-R124)*IFERROR(SUMPRODUCT(IF('2. Investicijos'!$N$5:$N$13&gt;('2. Investicijos'!$H$5:$H$13*'7. Pasirinktinis scenarijus'!$C$6),'2. Investicijos'!$N$5:$N$13-('2. Investicijos'!$H$5:$H$13*'7. Pasirinktinis scenarijus'!$C$6),0),'2. Investicijos'!$O$5:$O$13/100)/SUM(IF('2. Investicijos'!$N$5:$N$13&gt;('2. Investicijos'!$H$5:$H$13*'7. Pasirinktinis scenarijus'!$C$6),'2. Investicijos'!$N$5:$N$13-('2. Investicijos'!$H$5:$H$13*'7. Pasirinktinis scenarijus'!$C$6),0)),0)</f>
        <v>#VALUE!</v>
      </c>
      <c r="K125" s="62">
        <f>SUM(AE$5:AE$13)</f>
        <v>0</v>
      </c>
      <c r="L125" s="62">
        <f>SUM(U$5:U$13)</f>
        <v>0</v>
      </c>
      <c r="M125" s="62">
        <f>SUM(AO$5:AO$13)</f>
        <v>0</v>
      </c>
      <c r="N125" s="62">
        <f>'3. Finansinės prielaidos'!H30+M125</f>
        <v>0</v>
      </c>
      <c r="O125" s="62">
        <f>'3. Finansinės prielaidos'!H31</f>
        <v>0</v>
      </c>
      <c r="P125" s="62">
        <f>'3. Finansinės prielaidos'!H32</f>
        <v>0</v>
      </c>
      <c r="Q125" s="62" t="e">
        <f t="shared" si="55"/>
        <v>#VALUE!</v>
      </c>
      <c r="R125" s="62" t="e">
        <f>R124+('3. Finansinės prielaidos'!H31-'3. Finansinės prielaidos'!G31)+Q125</f>
        <v>#VALUE!</v>
      </c>
      <c r="S125" s="62" t="e" cm="1">
        <f t="array" ref="S125">SUMPRODUCT(--(2031&gt;'2. Investicijos'!$F$5:$F$13),--(2031&lt;='2. Investicijos'!$F$5:$F$13+'2. Investicijos'!$G$5:$G$13),IFERROR(('2. Investicijos'!$M$5:$M$13+IF('2. Investicijos'!$N$5:$N$13&gt;('2. Investicijos'!$H$5:$H$13*'7. Pasirinktinis scenarijus'!$C$6),'2. Investicijos'!$N$5:$N$13-('2. Investicijos'!$H$5:$H$13*'7. Pasirinktinis scenarijus'!$C$6),0)+('2. Investicijos'!$H$5:$H$13*'7. Pasirinktinis scenarijus'!$C$6))/'2. Investicijos'!$G$5:$G$13,0))+SUMPRODUCT(--(2031&gt;'2. Investicijos'!$F$5:$F$13),--(2031&lt;='2. Investicijos'!$F$5:$F$13+'2. Investicijos'!$G$5:$G$13),IFERROR(('2. Investicijos'!$M$5:$M$13+IF('2. Investicijos'!$N$5:$N$13&gt;('2. Investicijos'!$H$5:$H$13*'7. Pasirinktinis scenarijus'!$C$6),'2. Investicijos'!$N$5:$N$13-('2. Investicijos'!$H$5:$H$13*'7. Pasirinktinis scenarijus'!$C$6),0))*(1-((2031-'2. Investicijos'!$F$5:$F$13)-1)/'2. Investicijos'!$G$5:$G$13),0)*'5. 0% scenarijus'!$C$5)</f>
        <v>#VALUE!</v>
      </c>
      <c r="T125" s="62" t="e">
        <f>'3. Finansinės prielaidos'!H29+S125+G125</f>
        <v>#VALUE!</v>
      </c>
      <c r="U125" s="62" t="e">
        <f t="shared" si="56"/>
        <v>#VALUE!</v>
      </c>
      <c r="V125" s="72" t="e">
        <f t="shared" si="57"/>
        <v>#VALUE!</v>
      </c>
      <c r="W125" s="72" t="e">
        <f t="shared" si="58"/>
        <v>#VALUE!</v>
      </c>
      <c r="X125" s="57" t="e">
        <f t="shared" si="59"/>
        <v>#VALUE!</v>
      </c>
      <c r="Y125" s="57" t="e">
        <f t="shared" si="60"/>
        <v>#VALUE!</v>
      </c>
      <c r="Z125" s="57"/>
      <c r="AA125" s="57"/>
      <c r="AB125" s="57"/>
      <c r="AC125" s="57"/>
      <c r="AD125" s="57"/>
      <c r="AE125" s="57"/>
      <c r="AF125" s="57"/>
      <c r="AG125" s="57"/>
      <c r="AH125" s="57"/>
      <c r="AI125" s="57"/>
      <c r="AJ125" s="57"/>
      <c r="AK125" s="57"/>
      <c r="AL125" s="57"/>
      <c r="AM125" s="57"/>
      <c r="AN125" s="57"/>
      <c r="AO125" s="57"/>
      <c r="AP125" s="57"/>
      <c r="AQ125" s="57"/>
      <c r="AR125" s="57"/>
      <c r="AS125" s="57"/>
    </row>
    <row r="126" spans="1:45">
      <c r="A126" s="57">
        <v>9</v>
      </c>
      <c r="B126" s="57">
        <v>2032</v>
      </c>
      <c r="C126" s="62">
        <f>SUM('4. Metinis CAPEX'!L$9:L$17)</f>
        <v>0</v>
      </c>
      <c r="D126" s="62" cm="1">
        <f t="array" ref="D126">SUMPRODUCT('4. Metinis CAPEX'!L$9:L$17,IFERROR('2. Investicijos'!$N$5:$N$13/'2. Investicijos'!$H$5:$H$13,0))</f>
        <v>0</v>
      </c>
      <c r="E126" s="62" cm="1">
        <f t="array" ref="E126">SUMPRODUCT('4. Metinis CAPEX'!L$9:L$17,IFERROR(('2. Investicijos'!$I$5:$I$13+'2. Investicijos'!$J$5:$J$13+'2. Investicijos'!$K$5:$K$13+'2. Investicijos'!$L$5:$L$13)/'2. Investicijos'!$H$5:$H$13,0))</f>
        <v>0</v>
      </c>
      <c r="F126" s="62" cm="1">
        <f t="array" ref="F126">SUM('2. Investicijos'!$H$5:$H$13*'7. Pasirinktinis scenarijus'!$C$6)</f>
        <v>0</v>
      </c>
      <c r="G126" s="62" cm="1">
        <f t="array" ref="G126">IF(AND(2032&gt;=2026,2032&lt;2026+'7. Pasirinktinis scenarijus'!$C$5),SUM('2. Investicijos'!$H$5:$H$13*'7. Pasirinktinis scenarijus'!$C$6)/'7. Pasirinktinis scenarijus'!$C$5,0)</f>
        <v>0</v>
      </c>
      <c r="H126" s="62">
        <f t="shared" si="54"/>
        <v>0</v>
      </c>
      <c r="I126" s="62">
        <f>SUM(L$5:L$13)</f>
        <v>0</v>
      </c>
      <c r="J126" s="62" t="e" cm="1">
        <f t="array" ref="J126">K126+L126+MAX(0,-R125)*IFERROR(SUMPRODUCT(IF('2. Investicijos'!$N$5:$N$13&gt;('2. Investicijos'!$H$5:$H$13*'7. Pasirinktinis scenarijus'!$C$6),'2. Investicijos'!$N$5:$N$13-('2. Investicijos'!$H$5:$H$13*'7. Pasirinktinis scenarijus'!$C$6),0),'2. Investicijos'!$O$5:$O$13/100)/SUM(IF('2. Investicijos'!$N$5:$N$13&gt;('2. Investicijos'!$H$5:$H$13*'7. Pasirinktinis scenarijus'!$C$6),'2. Investicijos'!$N$5:$N$13-('2. Investicijos'!$H$5:$H$13*'7. Pasirinktinis scenarijus'!$C$6),0)),0)</f>
        <v>#VALUE!</v>
      </c>
      <c r="K126" s="62">
        <f>SUM(AF$5:AF$13)</f>
        <v>0</v>
      </c>
      <c r="L126" s="62">
        <f>SUM(V$5:V$13)</f>
        <v>0</v>
      </c>
      <c r="M126" s="62">
        <f>SUM(AP$5:AP$13)</f>
        <v>0</v>
      </c>
      <c r="N126" s="62">
        <f>'3. Finansinės prielaidos'!I30+M126</f>
        <v>0</v>
      </c>
      <c r="O126" s="62">
        <f>'3. Finansinės prielaidos'!I31</f>
        <v>0</v>
      </c>
      <c r="P126" s="62">
        <f>'3. Finansinės prielaidos'!I32</f>
        <v>0</v>
      </c>
      <c r="Q126" s="62" t="e">
        <f t="shared" si="55"/>
        <v>#VALUE!</v>
      </c>
      <c r="R126" s="62" t="e">
        <f>R125+('3. Finansinės prielaidos'!I31-'3. Finansinės prielaidos'!H31)+Q126</f>
        <v>#VALUE!</v>
      </c>
      <c r="S126" s="62" t="e" cm="1">
        <f t="array" ref="S126">SUMPRODUCT(--(2032&gt;'2. Investicijos'!$F$5:$F$13),--(2032&lt;='2. Investicijos'!$F$5:$F$13+'2. Investicijos'!$G$5:$G$13),IFERROR(('2. Investicijos'!$M$5:$M$13+IF('2. Investicijos'!$N$5:$N$13&gt;('2. Investicijos'!$H$5:$H$13*'7. Pasirinktinis scenarijus'!$C$6),'2. Investicijos'!$N$5:$N$13-('2. Investicijos'!$H$5:$H$13*'7. Pasirinktinis scenarijus'!$C$6),0)+('2. Investicijos'!$H$5:$H$13*'7. Pasirinktinis scenarijus'!$C$6))/'2. Investicijos'!$G$5:$G$13,0))+SUMPRODUCT(--(2032&gt;'2. Investicijos'!$F$5:$F$13),--(2032&lt;='2. Investicijos'!$F$5:$F$13+'2. Investicijos'!$G$5:$G$13),IFERROR(('2. Investicijos'!$M$5:$M$13+IF('2. Investicijos'!$N$5:$N$13&gt;('2. Investicijos'!$H$5:$H$13*'7. Pasirinktinis scenarijus'!$C$6),'2. Investicijos'!$N$5:$N$13-('2. Investicijos'!$H$5:$H$13*'7. Pasirinktinis scenarijus'!$C$6),0))*(1-((2032-'2. Investicijos'!$F$5:$F$13)-1)/'2. Investicijos'!$G$5:$G$13),0)*'5. 0% scenarijus'!$C$5)</f>
        <v>#VALUE!</v>
      </c>
      <c r="T126" s="62" t="e">
        <f>'3. Finansinės prielaidos'!I29+S126+G126</f>
        <v>#VALUE!</v>
      </c>
      <c r="U126" s="62" t="e">
        <f t="shared" si="56"/>
        <v>#VALUE!</v>
      </c>
      <c r="V126" s="72" t="e">
        <f t="shared" si="57"/>
        <v>#VALUE!</v>
      </c>
      <c r="W126" s="72" t="e">
        <f t="shared" si="58"/>
        <v>#VALUE!</v>
      </c>
      <c r="X126" s="57" t="e">
        <f t="shared" si="59"/>
        <v>#VALUE!</v>
      </c>
      <c r="Y126" s="57" t="e">
        <f t="shared" si="60"/>
        <v>#VALUE!</v>
      </c>
      <c r="Z126" s="57"/>
      <c r="AA126" s="57"/>
      <c r="AB126" s="57"/>
      <c r="AC126" s="57"/>
      <c r="AD126" s="57"/>
      <c r="AE126" s="57"/>
      <c r="AF126" s="57"/>
      <c r="AG126" s="57"/>
      <c r="AH126" s="57"/>
      <c r="AI126" s="57"/>
      <c r="AJ126" s="57"/>
      <c r="AK126" s="57"/>
      <c r="AL126" s="57"/>
      <c r="AM126" s="57"/>
      <c r="AN126" s="57"/>
      <c r="AO126" s="57"/>
      <c r="AP126" s="57"/>
      <c r="AQ126" s="57"/>
      <c r="AR126" s="57"/>
      <c r="AS126" s="57"/>
    </row>
    <row r="127" spans="1:45">
      <c r="A127" s="57">
        <v>9</v>
      </c>
      <c r="B127" s="57">
        <v>2033</v>
      </c>
      <c r="C127" s="62">
        <f>SUM('4. Metinis CAPEX'!M$9:M$17)</f>
        <v>0</v>
      </c>
      <c r="D127" s="62" cm="1">
        <f t="array" ref="D127">SUMPRODUCT('4. Metinis CAPEX'!M$9:M$17,IFERROR('2. Investicijos'!$N$5:$N$13/'2. Investicijos'!$H$5:$H$13,0))</f>
        <v>0</v>
      </c>
      <c r="E127" s="62" cm="1">
        <f t="array" ref="E127">SUMPRODUCT('4. Metinis CAPEX'!M$9:M$17,IFERROR(('2. Investicijos'!$I$5:$I$13+'2. Investicijos'!$J$5:$J$13+'2. Investicijos'!$K$5:$K$13+'2. Investicijos'!$L$5:$L$13)/'2. Investicijos'!$H$5:$H$13,0))</f>
        <v>0</v>
      </c>
      <c r="F127" s="62" cm="1">
        <f t="array" ref="F127">SUM('2. Investicijos'!$H$5:$H$13*'7. Pasirinktinis scenarijus'!$C$6)</f>
        <v>0</v>
      </c>
      <c r="G127" s="62" cm="1">
        <f t="array" ref="G127">IF(AND(2033&gt;=2026,2033&lt;2026+'7. Pasirinktinis scenarijus'!$C$5),SUM('2. Investicijos'!$H$5:$H$13*'7. Pasirinktinis scenarijus'!$C$6)/'7. Pasirinktinis scenarijus'!$C$5,0)</f>
        <v>0</v>
      </c>
      <c r="H127" s="62">
        <f t="shared" si="54"/>
        <v>0</v>
      </c>
      <c r="I127" s="62">
        <f>SUM(M$5:M$13)</f>
        <v>0</v>
      </c>
      <c r="J127" s="62" t="e" cm="1">
        <f t="array" ref="J127">K127+L127+MAX(0,-R126)*IFERROR(SUMPRODUCT(IF('2. Investicijos'!$N$5:$N$13&gt;('2. Investicijos'!$H$5:$H$13*'7. Pasirinktinis scenarijus'!$C$6),'2. Investicijos'!$N$5:$N$13-('2. Investicijos'!$H$5:$H$13*'7. Pasirinktinis scenarijus'!$C$6),0),'2. Investicijos'!$O$5:$O$13/100)/SUM(IF('2. Investicijos'!$N$5:$N$13&gt;('2. Investicijos'!$H$5:$H$13*'7. Pasirinktinis scenarijus'!$C$6),'2. Investicijos'!$N$5:$N$13-('2. Investicijos'!$H$5:$H$13*'7. Pasirinktinis scenarijus'!$C$6),0)),0)</f>
        <v>#VALUE!</v>
      </c>
      <c r="K127" s="62">
        <f>SUM(AG$5:AG$13)</f>
        <v>0</v>
      </c>
      <c r="L127" s="62">
        <f>SUM(W$5:W$13)</f>
        <v>0</v>
      </c>
      <c r="M127" s="62">
        <f>SUM(AQ$5:AQ$13)</f>
        <v>0</v>
      </c>
      <c r="N127" s="62">
        <f>'3. Finansinės prielaidos'!J30+M127</f>
        <v>0</v>
      </c>
      <c r="O127" s="62">
        <f>'3. Finansinės prielaidos'!J31</f>
        <v>0</v>
      </c>
      <c r="P127" s="62">
        <f>'3. Finansinės prielaidos'!J32</f>
        <v>0</v>
      </c>
      <c r="Q127" s="62" t="e">
        <f t="shared" si="55"/>
        <v>#VALUE!</v>
      </c>
      <c r="R127" s="62" t="e">
        <f>R126+('3. Finansinės prielaidos'!J31-'3. Finansinės prielaidos'!I31)+Q127</f>
        <v>#VALUE!</v>
      </c>
      <c r="S127" s="62" t="e" cm="1">
        <f t="array" ref="S127">SUMPRODUCT(--(2033&gt;'2. Investicijos'!$F$5:$F$13),--(2033&lt;='2. Investicijos'!$F$5:$F$13+'2. Investicijos'!$G$5:$G$13),IFERROR(('2. Investicijos'!$M$5:$M$13+IF('2. Investicijos'!$N$5:$N$13&gt;('2. Investicijos'!$H$5:$H$13*'7. Pasirinktinis scenarijus'!$C$6),'2. Investicijos'!$N$5:$N$13-('2. Investicijos'!$H$5:$H$13*'7. Pasirinktinis scenarijus'!$C$6),0)+('2. Investicijos'!$H$5:$H$13*'7. Pasirinktinis scenarijus'!$C$6))/'2. Investicijos'!$G$5:$G$13,0))+SUMPRODUCT(--(2033&gt;'2. Investicijos'!$F$5:$F$13),--(2033&lt;='2. Investicijos'!$F$5:$F$13+'2. Investicijos'!$G$5:$G$13),IFERROR(('2. Investicijos'!$M$5:$M$13+IF('2. Investicijos'!$N$5:$N$13&gt;('2. Investicijos'!$H$5:$H$13*'7. Pasirinktinis scenarijus'!$C$6),'2. Investicijos'!$N$5:$N$13-('2. Investicijos'!$H$5:$H$13*'7. Pasirinktinis scenarijus'!$C$6),0))*(1-((2033-'2. Investicijos'!$F$5:$F$13)-1)/'2. Investicijos'!$G$5:$G$13),0)*'5. 0% scenarijus'!$C$5)</f>
        <v>#VALUE!</v>
      </c>
      <c r="T127" s="62" t="e">
        <f>'3. Finansinės prielaidos'!J29+S127+G127</f>
        <v>#VALUE!</v>
      </c>
      <c r="U127" s="62" t="e">
        <f t="shared" si="56"/>
        <v>#VALUE!</v>
      </c>
      <c r="V127" s="72" t="e">
        <f t="shared" si="57"/>
        <v>#VALUE!</v>
      </c>
      <c r="W127" s="72" t="e">
        <f t="shared" si="58"/>
        <v>#VALUE!</v>
      </c>
      <c r="X127" s="57" t="e">
        <f t="shared" si="59"/>
        <v>#VALUE!</v>
      </c>
      <c r="Y127" s="57" t="e">
        <f t="shared" si="60"/>
        <v>#VALUE!</v>
      </c>
      <c r="Z127" s="57"/>
      <c r="AA127" s="57"/>
      <c r="AB127" s="57"/>
      <c r="AC127" s="57"/>
      <c r="AD127" s="57"/>
      <c r="AE127" s="57"/>
      <c r="AF127" s="57"/>
      <c r="AG127" s="57"/>
      <c r="AH127" s="57"/>
      <c r="AI127" s="57"/>
      <c r="AJ127" s="57"/>
      <c r="AK127" s="57"/>
      <c r="AL127" s="57"/>
      <c r="AM127" s="57"/>
      <c r="AN127" s="57"/>
      <c r="AO127" s="57"/>
      <c r="AP127" s="57"/>
      <c r="AQ127" s="57"/>
      <c r="AR127" s="57"/>
      <c r="AS127" s="57"/>
    </row>
    <row r="128" spans="1:45">
      <c r="A128" s="57">
        <v>9</v>
      </c>
      <c r="B128" s="57">
        <v>2034</v>
      </c>
      <c r="C128" s="62">
        <f>SUM('4. Metinis CAPEX'!N$9:N$17)</f>
        <v>0</v>
      </c>
      <c r="D128" s="62" cm="1">
        <f t="array" ref="D128">SUMPRODUCT('4. Metinis CAPEX'!N$9:N$17,IFERROR('2. Investicijos'!$N$5:$N$13/'2. Investicijos'!$H$5:$H$13,0))</f>
        <v>0</v>
      </c>
      <c r="E128" s="62" cm="1">
        <f t="array" ref="E128">SUMPRODUCT('4. Metinis CAPEX'!N$9:N$17,IFERROR(('2. Investicijos'!$I$5:$I$13+'2. Investicijos'!$J$5:$J$13+'2. Investicijos'!$K$5:$K$13+'2. Investicijos'!$L$5:$L$13)/'2. Investicijos'!$H$5:$H$13,0))</f>
        <v>0</v>
      </c>
      <c r="F128" s="62" cm="1">
        <f t="array" ref="F128">SUM('2. Investicijos'!$H$5:$H$13*'7. Pasirinktinis scenarijus'!$C$6)</f>
        <v>0</v>
      </c>
      <c r="G128" s="62" cm="1">
        <f t="array" ref="G128">IF(AND(2034&gt;=2026,2034&lt;2026+'7. Pasirinktinis scenarijus'!$C$5),SUM('2. Investicijos'!$H$5:$H$13*'7. Pasirinktinis scenarijus'!$C$6)/'7. Pasirinktinis scenarijus'!$C$5,0)</f>
        <v>0</v>
      </c>
      <c r="H128" s="62">
        <f t="shared" si="54"/>
        <v>0</v>
      </c>
      <c r="I128" s="62">
        <f>SUM(N$5:N$13)</f>
        <v>0</v>
      </c>
      <c r="J128" s="62" t="e" cm="1">
        <f t="array" ref="J128">K128+L128+MAX(0,-R127)*IFERROR(SUMPRODUCT(IF('2. Investicijos'!$N$5:$N$13&gt;('2. Investicijos'!$H$5:$H$13*'7. Pasirinktinis scenarijus'!$C$6),'2. Investicijos'!$N$5:$N$13-('2. Investicijos'!$H$5:$H$13*'7. Pasirinktinis scenarijus'!$C$6),0),'2. Investicijos'!$O$5:$O$13/100)/SUM(IF('2. Investicijos'!$N$5:$N$13&gt;('2. Investicijos'!$H$5:$H$13*'7. Pasirinktinis scenarijus'!$C$6),'2. Investicijos'!$N$5:$N$13-('2. Investicijos'!$H$5:$H$13*'7. Pasirinktinis scenarijus'!$C$6),0)),0)</f>
        <v>#VALUE!</v>
      </c>
      <c r="K128" s="62">
        <f>SUM(AH$5:AH$13)</f>
        <v>0</v>
      </c>
      <c r="L128" s="62">
        <f>SUM(X$5:X$13)</f>
        <v>0</v>
      </c>
      <c r="M128" s="62">
        <f>SUM(AR$5:AR$13)</f>
        <v>0</v>
      </c>
      <c r="N128" s="62">
        <f>'3. Finansinės prielaidos'!K30+M128</f>
        <v>0</v>
      </c>
      <c r="O128" s="62">
        <f>'3. Finansinės prielaidos'!K31</f>
        <v>0</v>
      </c>
      <c r="P128" s="62">
        <f>'3. Finansinės prielaidos'!K32</f>
        <v>0</v>
      </c>
      <c r="Q128" s="62" t="e">
        <f t="shared" si="55"/>
        <v>#VALUE!</v>
      </c>
      <c r="R128" s="62" t="e">
        <f>R127+('3. Finansinės prielaidos'!K31-'3. Finansinės prielaidos'!J31)+Q128</f>
        <v>#VALUE!</v>
      </c>
      <c r="S128" s="62" t="e" cm="1">
        <f t="array" ref="S128">SUMPRODUCT(--(2034&gt;'2. Investicijos'!$F$5:$F$13),--(2034&lt;='2. Investicijos'!$F$5:$F$13+'2. Investicijos'!$G$5:$G$13),IFERROR(('2. Investicijos'!$M$5:$M$13+IF('2. Investicijos'!$N$5:$N$13&gt;('2. Investicijos'!$H$5:$H$13*'7. Pasirinktinis scenarijus'!$C$6),'2. Investicijos'!$N$5:$N$13-('2. Investicijos'!$H$5:$H$13*'7. Pasirinktinis scenarijus'!$C$6),0)+('2. Investicijos'!$H$5:$H$13*'7. Pasirinktinis scenarijus'!$C$6))/'2. Investicijos'!$G$5:$G$13,0))+SUMPRODUCT(--(2034&gt;'2. Investicijos'!$F$5:$F$13),--(2034&lt;='2. Investicijos'!$F$5:$F$13+'2. Investicijos'!$G$5:$G$13),IFERROR(('2. Investicijos'!$M$5:$M$13+IF('2. Investicijos'!$N$5:$N$13&gt;('2. Investicijos'!$H$5:$H$13*'7. Pasirinktinis scenarijus'!$C$6),'2. Investicijos'!$N$5:$N$13-('2. Investicijos'!$H$5:$H$13*'7. Pasirinktinis scenarijus'!$C$6),0))*(1-((2034-'2. Investicijos'!$F$5:$F$13)-1)/'2. Investicijos'!$G$5:$G$13),0)*'5. 0% scenarijus'!$C$5)</f>
        <v>#VALUE!</v>
      </c>
      <c r="T128" s="62" t="e">
        <f>'3. Finansinės prielaidos'!K29+S128+G128</f>
        <v>#VALUE!</v>
      </c>
      <c r="U128" s="62" t="e">
        <f t="shared" si="56"/>
        <v>#VALUE!</v>
      </c>
      <c r="V128" s="72" t="e">
        <f t="shared" si="57"/>
        <v>#VALUE!</v>
      </c>
      <c r="W128" s="72" t="e">
        <f t="shared" si="58"/>
        <v>#VALUE!</v>
      </c>
      <c r="X128" s="57" t="e">
        <f t="shared" si="59"/>
        <v>#VALUE!</v>
      </c>
      <c r="Y128" s="57" t="e">
        <f t="shared" si="60"/>
        <v>#VALUE!</v>
      </c>
      <c r="Z128" s="57"/>
      <c r="AA128" s="57"/>
      <c r="AB128" s="57"/>
      <c r="AC128" s="57"/>
      <c r="AD128" s="57"/>
      <c r="AE128" s="57"/>
      <c r="AF128" s="57"/>
      <c r="AG128" s="57"/>
      <c r="AH128" s="57"/>
      <c r="AI128" s="57"/>
      <c r="AJ128" s="57"/>
      <c r="AK128" s="57"/>
      <c r="AL128" s="57"/>
      <c r="AM128" s="57"/>
      <c r="AN128" s="57"/>
      <c r="AO128" s="57"/>
      <c r="AP128" s="57"/>
      <c r="AQ128" s="57"/>
      <c r="AR128" s="57"/>
      <c r="AS128" s="57"/>
    </row>
    <row r="129" spans="1:45">
      <c r="A129" s="57">
        <v>9</v>
      </c>
      <c r="B129" s="57">
        <v>2035</v>
      </c>
      <c r="C129" s="62">
        <f>SUM('4. Metinis CAPEX'!O$9:O$17)</f>
        <v>0</v>
      </c>
      <c r="D129" s="62" cm="1">
        <f t="array" ref="D129">SUMPRODUCT('4. Metinis CAPEX'!O$9:O$17,IFERROR('2. Investicijos'!$N$5:$N$13/'2. Investicijos'!$H$5:$H$13,0))</f>
        <v>0</v>
      </c>
      <c r="E129" s="62" cm="1">
        <f t="array" ref="E129">SUMPRODUCT('4. Metinis CAPEX'!O$9:O$17,IFERROR(('2. Investicijos'!$I$5:$I$13+'2. Investicijos'!$J$5:$J$13+'2. Investicijos'!$K$5:$K$13+'2. Investicijos'!$L$5:$L$13)/'2. Investicijos'!$H$5:$H$13,0))</f>
        <v>0</v>
      </c>
      <c r="F129" s="62" cm="1">
        <f t="array" ref="F129">SUM('2. Investicijos'!$H$5:$H$13*'7. Pasirinktinis scenarijus'!$C$6)</f>
        <v>0</v>
      </c>
      <c r="G129" s="62" cm="1">
        <f t="array" ref="G129">IF(AND(2035&gt;=2026,2035&lt;2026+'7. Pasirinktinis scenarijus'!$C$5),SUM('2. Investicijos'!$H$5:$H$13*'7. Pasirinktinis scenarijus'!$C$6)/'7. Pasirinktinis scenarijus'!$C$5,0)</f>
        <v>0</v>
      </c>
      <c r="H129" s="62">
        <f t="shared" si="54"/>
        <v>0</v>
      </c>
      <c r="I129" s="62">
        <f>SUM(O$5:O$13)</f>
        <v>0</v>
      </c>
      <c r="J129" s="62" t="e" cm="1">
        <f t="array" ref="J129">K129+L129+MAX(0,-R128)*IFERROR(SUMPRODUCT(IF('2. Investicijos'!$N$5:$N$13&gt;('2. Investicijos'!$H$5:$H$13*'7. Pasirinktinis scenarijus'!$C$6),'2. Investicijos'!$N$5:$N$13-('2. Investicijos'!$H$5:$H$13*'7. Pasirinktinis scenarijus'!$C$6),0),'2. Investicijos'!$O$5:$O$13/100)/SUM(IF('2. Investicijos'!$N$5:$N$13&gt;('2. Investicijos'!$H$5:$H$13*'7. Pasirinktinis scenarijus'!$C$6),'2. Investicijos'!$N$5:$N$13-('2. Investicijos'!$H$5:$H$13*'7. Pasirinktinis scenarijus'!$C$6),0)),0)</f>
        <v>#VALUE!</v>
      </c>
      <c r="K129" s="62">
        <f>SUM(AI$5:AI$13)</f>
        <v>0</v>
      </c>
      <c r="L129" s="62">
        <f>SUM(Y$5:Y$13)</f>
        <v>0</v>
      </c>
      <c r="M129" s="62">
        <f>SUM(AS$5:AS$13)</f>
        <v>0</v>
      </c>
      <c r="N129" s="62">
        <f>'3. Finansinės prielaidos'!L30+M129</f>
        <v>0</v>
      </c>
      <c r="O129" s="62">
        <f>'3. Finansinės prielaidos'!L31</f>
        <v>0</v>
      </c>
      <c r="P129" s="62">
        <f>'3. Finansinės prielaidos'!L32</f>
        <v>0</v>
      </c>
      <c r="Q129" s="62" t="e">
        <f t="shared" si="55"/>
        <v>#VALUE!</v>
      </c>
      <c r="R129" s="62" t="e">
        <f>R128+('3. Finansinės prielaidos'!L31-'3. Finansinės prielaidos'!K31)+Q129</f>
        <v>#VALUE!</v>
      </c>
      <c r="S129" s="62" t="e" cm="1">
        <f t="array" ref="S129">SUMPRODUCT(--(2035&gt;'2. Investicijos'!$F$5:$F$13),--(2035&lt;='2. Investicijos'!$F$5:$F$13+'2. Investicijos'!$G$5:$G$13),IFERROR(('2. Investicijos'!$M$5:$M$13+IF('2. Investicijos'!$N$5:$N$13&gt;('2. Investicijos'!$H$5:$H$13*'7. Pasirinktinis scenarijus'!$C$6),'2. Investicijos'!$N$5:$N$13-('2. Investicijos'!$H$5:$H$13*'7. Pasirinktinis scenarijus'!$C$6),0)+('2. Investicijos'!$H$5:$H$13*'7. Pasirinktinis scenarijus'!$C$6))/'2. Investicijos'!$G$5:$G$13,0))+SUMPRODUCT(--(2035&gt;'2. Investicijos'!$F$5:$F$13),--(2035&lt;='2. Investicijos'!$F$5:$F$13+'2. Investicijos'!$G$5:$G$13),IFERROR(('2. Investicijos'!$M$5:$M$13+IF('2. Investicijos'!$N$5:$N$13&gt;('2. Investicijos'!$H$5:$H$13*'7. Pasirinktinis scenarijus'!$C$6),'2. Investicijos'!$N$5:$N$13-('2. Investicijos'!$H$5:$H$13*'7. Pasirinktinis scenarijus'!$C$6),0))*(1-((2035-'2. Investicijos'!$F$5:$F$13)-1)/'2. Investicijos'!$G$5:$G$13),0)*'5. 0% scenarijus'!$C$5)</f>
        <v>#VALUE!</v>
      </c>
      <c r="T129" s="62" t="e">
        <f>'3. Finansinės prielaidos'!L29+S129+G129</f>
        <v>#VALUE!</v>
      </c>
      <c r="U129" s="62" t="e">
        <f t="shared" si="56"/>
        <v>#VALUE!</v>
      </c>
      <c r="V129" s="72" t="e">
        <f t="shared" si="57"/>
        <v>#VALUE!</v>
      </c>
      <c r="W129" s="72" t="e">
        <f t="shared" si="58"/>
        <v>#VALUE!</v>
      </c>
      <c r="X129" s="57" t="e">
        <f t="shared" si="59"/>
        <v>#VALUE!</v>
      </c>
      <c r="Y129" s="57" t="e">
        <f t="shared" si="60"/>
        <v>#VALUE!</v>
      </c>
      <c r="Z129" s="57"/>
      <c r="AA129" s="57"/>
      <c r="AB129" s="57"/>
      <c r="AC129" s="57"/>
      <c r="AD129" s="57"/>
      <c r="AE129" s="57"/>
      <c r="AF129" s="57"/>
      <c r="AG129" s="57"/>
      <c r="AH129" s="57"/>
      <c r="AI129" s="57"/>
      <c r="AJ129" s="57"/>
      <c r="AK129" s="57"/>
      <c r="AL129" s="57"/>
      <c r="AM129" s="57"/>
      <c r="AN129" s="57"/>
      <c r="AO129" s="57"/>
      <c r="AP129" s="57"/>
      <c r="AQ129" s="57"/>
      <c r="AR129" s="57"/>
      <c r="AS129" s="57"/>
    </row>
    <row r="130" spans="1:45">
      <c r="A130" s="57">
        <v>10</v>
      </c>
      <c r="B130" s="57">
        <v>2026</v>
      </c>
      <c r="C130" s="62">
        <f>SUM('4. Metinis CAPEX'!F$9:F$18)</f>
        <v>0</v>
      </c>
      <c r="D130" s="62" cm="1">
        <f t="array" ref="D130">SUMPRODUCT('4. Metinis CAPEX'!F$9:F$18,IFERROR('2. Investicijos'!$N$5:$N$14/'2. Investicijos'!$H$5:$H$14,0))</f>
        <v>0</v>
      </c>
      <c r="E130" s="62" cm="1">
        <f t="array" ref="E130">SUMPRODUCT('4. Metinis CAPEX'!F$9:F$18,IFERROR(('2. Investicijos'!$I$5:$I$14+'2. Investicijos'!$J$5:$J$14+'2. Investicijos'!$K$5:$K$14+'2. Investicijos'!$L$5:$L$14)/'2. Investicijos'!$H$5:$H$14,0))</f>
        <v>0</v>
      </c>
      <c r="F130" s="62" cm="1">
        <f t="array" ref="F130">SUM('2. Investicijos'!$H$5:$H$14*'7. Pasirinktinis scenarijus'!$C$6)</f>
        <v>0</v>
      </c>
      <c r="G130" s="62" cm="1">
        <f t="array" ref="G130">IF(AND(2026&gt;=2026,2026&lt;2026+'7. Pasirinktinis scenarijus'!$C$5),SUM('2. Investicijos'!$H$5:$H$14*'7. Pasirinktinis scenarijus'!$C$6)/'7. Pasirinktinis scenarijus'!$C$5,0)</f>
        <v>0</v>
      </c>
      <c r="H130" s="62">
        <f t="shared" si="54"/>
        <v>0</v>
      </c>
      <c r="I130" s="62">
        <f>SUM(F$5:F$14)</f>
        <v>0</v>
      </c>
      <c r="J130" s="62">
        <f>0</f>
        <v>0</v>
      </c>
      <c r="K130" s="62">
        <f>SUM(Z$5:Z$14)</f>
        <v>0</v>
      </c>
      <c r="L130" s="62">
        <f>SUM(P$5:P$14)</f>
        <v>0</v>
      </c>
      <c r="M130" s="62">
        <f>SUM(AJ$5:AJ$14)</f>
        <v>0</v>
      </c>
      <c r="N130" s="62">
        <f>'3. Finansinės prielaidos'!C30+M130</f>
        <v>0</v>
      </c>
      <c r="O130" s="62">
        <f>'3. Finansinės prielaidos'!C31</f>
        <v>0</v>
      </c>
      <c r="P130" s="62">
        <f>'3. Finansinės prielaidos'!C32</f>
        <v>0</v>
      </c>
      <c r="Q130" s="62" t="e">
        <f t="shared" si="55"/>
        <v>#VALUE!</v>
      </c>
      <c r="R130" s="62" t="e">
        <f>O130+Q130</f>
        <v>#VALUE!</v>
      </c>
      <c r="S130" s="62" t="e" cm="1">
        <f t="array" ref="S130">SUMPRODUCT(--(2026&gt;'2. Investicijos'!$F$5:$F$14),--(2026&lt;='2. Investicijos'!$F$5:$F$14+'2. Investicijos'!$G$5:$G$14),IFERROR(('2. Investicijos'!$M$5:$M$14+IF('2. Investicijos'!$N$5:$N$14&gt;('2. Investicijos'!$H$5:$H$14*'7. Pasirinktinis scenarijus'!$C$6),'2. Investicijos'!$N$5:$N$14-('2. Investicijos'!$H$5:$H$14*'7. Pasirinktinis scenarijus'!$C$6),0)+('2. Investicijos'!$H$5:$H$14*'7. Pasirinktinis scenarijus'!$C$6))/'2. Investicijos'!$G$5:$G$14,0))+SUMPRODUCT(--(2026&gt;'2. Investicijos'!$F$5:$F$14),--(2026&lt;='2. Investicijos'!$F$5:$F$14+'2. Investicijos'!$G$5:$G$14),IFERROR(('2. Investicijos'!$M$5:$M$14+IF('2. Investicijos'!$N$5:$N$14&gt;('2. Investicijos'!$H$5:$H$14*'7. Pasirinktinis scenarijus'!$C$6),'2. Investicijos'!$N$5:$N$14-('2. Investicijos'!$H$5:$H$14*'7. Pasirinktinis scenarijus'!$C$6),0))*(1-((2026-'2. Investicijos'!$F$5:$F$14)-1)/'2. Investicijos'!$G$5:$G$14),0)*'5. 0% scenarijus'!$C$5)</f>
        <v>#VALUE!</v>
      </c>
      <c r="T130" s="62" t="e">
        <f>'3. Finansinės prielaidos'!C29+S130+G130</f>
        <v>#VALUE!</v>
      </c>
      <c r="U130" s="62" t="e">
        <f t="shared" si="56"/>
        <v>#VALUE!</v>
      </c>
      <c r="V130" s="72" t="e">
        <f t="shared" si="57"/>
        <v>#VALUE!</v>
      </c>
      <c r="W130" s="72" t="e">
        <f t="shared" si="58"/>
        <v>#VALUE!</v>
      </c>
      <c r="X130" s="57" t="e">
        <f t="shared" si="59"/>
        <v>#VALUE!</v>
      </c>
      <c r="Y130" s="57" t="e">
        <f t="shared" si="60"/>
        <v>#VALUE!</v>
      </c>
      <c r="Z130" s="57"/>
      <c r="AA130" s="57"/>
      <c r="AB130" s="57"/>
      <c r="AC130" s="57"/>
      <c r="AD130" s="57"/>
      <c r="AE130" s="57"/>
      <c r="AF130" s="57"/>
      <c r="AG130" s="57"/>
      <c r="AH130" s="57"/>
      <c r="AI130" s="57"/>
      <c r="AJ130" s="57"/>
      <c r="AK130" s="57"/>
      <c r="AL130" s="57"/>
      <c r="AM130" s="57"/>
      <c r="AN130" s="57"/>
      <c r="AO130" s="57"/>
      <c r="AP130" s="57"/>
      <c r="AQ130" s="57"/>
      <c r="AR130" s="57"/>
      <c r="AS130" s="57"/>
    </row>
    <row r="131" spans="1:45">
      <c r="A131" s="57">
        <v>10</v>
      </c>
      <c r="B131" s="57">
        <v>2027</v>
      </c>
      <c r="C131" s="62">
        <f>SUM('4. Metinis CAPEX'!G$9:G$18)</f>
        <v>0</v>
      </c>
      <c r="D131" s="62" cm="1">
        <f t="array" ref="D131">SUMPRODUCT('4. Metinis CAPEX'!G$9:G$18,IFERROR('2. Investicijos'!$N$5:$N$14/'2. Investicijos'!$H$5:$H$14,0))</f>
        <v>0</v>
      </c>
      <c r="E131" s="62" cm="1">
        <f t="array" ref="E131">SUMPRODUCT('4. Metinis CAPEX'!G$9:G$18,IFERROR(('2. Investicijos'!$I$5:$I$14+'2. Investicijos'!$J$5:$J$14+'2. Investicijos'!$K$5:$K$14+'2. Investicijos'!$L$5:$L$14)/'2. Investicijos'!$H$5:$H$14,0))</f>
        <v>0</v>
      </c>
      <c r="F131" s="62" cm="1">
        <f t="array" ref="F131">SUM('2. Investicijos'!$H$5:$H$14*'7. Pasirinktinis scenarijus'!$C$6)</f>
        <v>0</v>
      </c>
      <c r="G131" s="62" cm="1">
        <f t="array" ref="G131">IF(AND(2027&gt;=2026,2027&lt;2026+'7. Pasirinktinis scenarijus'!$C$5),SUM('2. Investicijos'!$H$5:$H$14*'7. Pasirinktinis scenarijus'!$C$6)/'7. Pasirinktinis scenarijus'!$C$5,0)</f>
        <v>0</v>
      </c>
      <c r="H131" s="62">
        <f t="shared" si="54"/>
        <v>0</v>
      </c>
      <c r="I131" s="62">
        <f>SUM(G$5:G$14)</f>
        <v>0</v>
      </c>
      <c r="J131" s="62" t="e" cm="1">
        <f t="array" ref="J131">K131+L131+MAX(0,-R130)*IFERROR(SUMPRODUCT(IF('2. Investicijos'!$N$5:$N$14&gt;('2. Investicijos'!$H$5:$H$14*'7. Pasirinktinis scenarijus'!$C$6),'2. Investicijos'!$N$5:$N$14-('2. Investicijos'!$H$5:$H$14*'7. Pasirinktinis scenarijus'!$C$6),0),'2. Investicijos'!$O$5:$O$14/100)/SUM(IF('2. Investicijos'!$N$5:$N$14&gt;('2. Investicijos'!$H$5:$H$14*'7. Pasirinktinis scenarijus'!$C$6),'2. Investicijos'!$N$5:$N$14-('2. Investicijos'!$H$5:$H$14*'7. Pasirinktinis scenarijus'!$C$6),0)),0)</f>
        <v>#VALUE!</v>
      </c>
      <c r="K131" s="62">
        <f>SUM(AA$5:AA$14)</f>
        <v>0</v>
      </c>
      <c r="L131" s="62">
        <f>SUM(Q$5:Q$14)</f>
        <v>0</v>
      </c>
      <c r="M131" s="62">
        <f>SUM(AK$5:AK$14)</f>
        <v>0</v>
      </c>
      <c r="N131" s="62">
        <f>'3. Finansinės prielaidos'!D30+M131</f>
        <v>0</v>
      </c>
      <c r="O131" s="62">
        <f>'3. Finansinės prielaidos'!D31</f>
        <v>0</v>
      </c>
      <c r="P131" s="62">
        <f>'3. Finansinės prielaidos'!D32</f>
        <v>0</v>
      </c>
      <c r="Q131" s="62" t="e">
        <f t="shared" si="55"/>
        <v>#VALUE!</v>
      </c>
      <c r="R131" s="62" t="e">
        <f>R130+('3. Finansinės prielaidos'!D31-'3. Finansinės prielaidos'!C31)+Q131</f>
        <v>#VALUE!</v>
      </c>
      <c r="S131" s="62" t="e" cm="1">
        <f t="array" ref="S131">SUMPRODUCT(--(2027&gt;'2. Investicijos'!$F$5:$F$14),--(2027&lt;='2. Investicijos'!$F$5:$F$14+'2. Investicijos'!$G$5:$G$14),IFERROR(('2. Investicijos'!$M$5:$M$14+IF('2. Investicijos'!$N$5:$N$14&gt;('2. Investicijos'!$H$5:$H$14*'7. Pasirinktinis scenarijus'!$C$6),'2. Investicijos'!$N$5:$N$14-('2. Investicijos'!$H$5:$H$14*'7. Pasirinktinis scenarijus'!$C$6),0)+('2. Investicijos'!$H$5:$H$14*'7. Pasirinktinis scenarijus'!$C$6))/'2. Investicijos'!$G$5:$G$14,0))+SUMPRODUCT(--(2027&gt;'2. Investicijos'!$F$5:$F$14),--(2027&lt;='2. Investicijos'!$F$5:$F$14+'2. Investicijos'!$G$5:$G$14),IFERROR(('2. Investicijos'!$M$5:$M$14+IF('2. Investicijos'!$N$5:$N$14&gt;('2. Investicijos'!$H$5:$H$14*'7. Pasirinktinis scenarijus'!$C$6),'2. Investicijos'!$N$5:$N$14-('2. Investicijos'!$H$5:$H$14*'7. Pasirinktinis scenarijus'!$C$6),0))*(1-((2027-'2. Investicijos'!$F$5:$F$14)-1)/'2. Investicijos'!$G$5:$G$14),0)*'5. 0% scenarijus'!$C$5)</f>
        <v>#VALUE!</v>
      </c>
      <c r="T131" s="62" t="e">
        <f>'3. Finansinės prielaidos'!D29+S131+G131</f>
        <v>#VALUE!</v>
      </c>
      <c r="U131" s="62" t="e">
        <f t="shared" si="56"/>
        <v>#VALUE!</v>
      </c>
      <c r="V131" s="72" t="e">
        <f t="shared" si="57"/>
        <v>#VALUE!</v>
      </c>
      <c r="W131" s="72" t="e">
        <f t="shared" si="58"/>
        <v>#VALUE!</v>
      </c>
      <c r="X131" s="57" t="e">
        <f t="shared" si="59"/>
        <v>#VALUE!</v>
      </c>
      <c r="Y131" s="57" t="e">
        <f t="shared" si="60"/>
        <v>#VALUE!</v>
      </c>
      <c r="Z131" s="57"/>
      <c r="AA131" s="57"/>
      <c r="AB131" s="57"/>
      <c r="AC131" s="57"/>
      <c r="AD131" s="57"/>
      <c r="AE131" s="57"/>
      <c r="AF131" s="57"/>
      <c r="AG131" s="57"/>
      <c r="AH131" s="57"/>
      <c r="AI131" s="57"/>
      <c r="AJ131" s="57"/>
      <c r="AK131" s="57"/>
      <c r="AL131" s="57"/>
      <c r="AM131" s="57"/>
      <c r="AN131" s="57"/>
      <c r="AO131" s="57"/>
      <c r="AP131" s="57"/>
      <c r="AQ131" s="57"/>
      <c r="AR131" s="57"/>
      <c r="AS131" s="57"/>
    </row>
    <row r="132" spans="1:45">
      <c r="A132" s="57">
        <v>10</v>
      </c>
      <c r="B132" s="57">
        <v>2028</v>
      </c>
      <c r="C132" s="62">
        <f>SUM('4. Metinis CAPEX'!H$9:H$18)</f>
        <v>0</v>
      </c>
      <c r="D132" s="62" cm="1">
        <f t="array" ref="D132">SUMPRODUCT('4. Metinis CAPEX'!H$9:H$18,IFERROR('2. Investicijos'!$N$5:$N$14/'2. Investicijos'!$H$5:$H$14,0))</f>
        <v>0</v>
      </c>
      <c r="E132" s="62" cm="1">
        <f t="array" ref="E132">SUMPRODUCT('4. Metinis CAPEX'!H$9:H$18,IFERROR(('2. Investicijos'!$I$5:$I$14+'2. Investicijos'!$J$5:$J$14+'2. Investicijos'!$K$5:$K$14+'2. Investicijos'!$L$5:$L$14)/'2. Investicijos'!$H$5:$H$14,0))</f>
        <v>0</v>
      </c>
      <c r="F132" s="62" cm="1">
        <f t="array" ref="F132">SUM('2. Investicijos'!$H$5:$H$14*'7. Pasirinktinis scenarijus'!$C$6)</f>
        <v>0</v>
      </c>
      <c r="G132" s="62" cm="1">
        <f t="array" ref="G132">IF(AND(2028&gt;=2026,2028&lt;2026+'7. Pasirinktinis scenarijus'!$C$5),SUM('2. Investicijos'!$H$5:$H$14*'7. Pasirinktinis scenarijus'!$C$6)/'7. Pasirinktinis scenarijus'!$C$5,0)</f>
        <v>0</v>
      </c>
      <c r="H132" s="62">
        <f t="shared" si="54"/>
        <v>0</v>
      </c>
      <c r="I132" s="62">
        <f>SUM(H$5:H$14)</f>
        <v>0</v>
      </c>
      <c r="J132" s="62" t="e" cm="1">
        <f t="array" ref="J132">K132+L132+MAX(0,-R131)*IFERROR(SUMPRODUCT(IF('2. Investicijos'!$N$5:$N$14&gt;('2. Investicijos'!$H$5:$H$14*'7. Pasirinktinis scenarijus'!$C$6),'2. Investicijos'!$N$5:$N$14-('2. Investicijos'!$H$5:$H$14*'7. Pasirinktinis scenarijus'!$C$6),0),'2. Investicijos'!$O$5:$O$14/100)/SUM(IF('2. Investicijos'!$N$5:$N$14&gt;('2. Investicijos'!$H$5:$H$14*'7. Pasirinktinis scenarijus'!$C$6),'2. Investicijos'!$N$5:$N$14-('2. Investicijos'!$H$5:$H$14*'7. Pasirinktinis scenarijus'!$C$6),0)),0)</f>
        <v>#VALUE!</v>
      </c>
      <c r="K132" s="62">
        <f>SUM(AB$5:AB$14)</f>
        <v>0</v>
      </c>
      <c r="L132" s="62">
        <f>SUM(R$5:R$14)</f>
        <v>0</v>
      </c>
      <c r="M132" s="62">
        <f>SUM(AL$5:AL$14)</f>
        <v>0</v>
      </c>
      <c r="N132" s="62">
        <f>'3. Finansinės prielaidos'!E30+M132</f>
        <v>0</v>
      </c>
      <c r="O132" s="62">
        <f>'3. Finansinės prielaidos'!E31</f>
        <v>0</v>
      </c>
      <c r="P132" s="62">
        <f>'3. Finansinės prielaidos'!E32</f>
        <v>0</v>
      </c>
      <c r="Q132" s="62" t="e">
        <f t="shared" si="55"/>
        <v>#VALUE!</v>
      </c>
      <c r="R132" s="62" t="e">
        <f>R131+('3. Finansinės prielaidos'!E31-'3. Finansinės prielaidos'!D31)+Q132</f>
        <v>#VALUE!</v>
      </c>
      <c r="S132" s="62" t="e" cm="1">
        <f t="array" ref="S132">SUMPRODUCT(--(2028&gt;'2. Investicijos'!$F$5:$F$14),--(2028&lt;='2. Investicijos'!$F$5:$F$14+'2. Investicijos'!$G$5:$G$14),IFERROR(('2. Investicijos'!$M$5:$M$14+IF('2. Investicijos'!$N$5:$N$14&gt;('2. Investicijos'!$H$5:$H$14*'7. Pasirinktinis scenarijus'!$C$6),'2. Investicijos'!$N$5:$N$14-('2. Investicijos'!$H$5:$H$14*'7. Pasirinktinis scenarijus'!$C$6),0)+('2. Investicijos'!$H$5:$H$14*'7. Pasirinktinis scenarijus'!$C$6))/'2. Investicijos'!$G$5:$G$14,0))+SUMPRODUCT(--(2028&gt;'2. Investicijos'!$F$5:$F$14),--(2028&lt;='2. Investicijos'!$F$5:$F$14+'2. Investicijos'!$G$5:$G$14),IFERROR(('2. Investicijos'!$M$5:$M$14+IF('2. Investicijos'!$N$5:$N$14&gt;('2. Investicijos'!$H$5:$H$14*'7. Pasirinktinis scenarijus'!$C$6),'2. Investicijos'!$N$5:$N$14-('2. Investicijos'!$H$5:$H$14*'7. Pasirinktinis scenarijus'!$C$6),0))*(1-((2028-'2. Investicijos'!$F$5:$F$14)-1)/'2. Investicijos'!$G$5:$G$14),0)*'5. 0% scenarijus'!$C$5)</f>
        <v>#VALUE!</v>
      </c>
      <c r="T132" s="62" t="e">
        <f>'3. Finansinės prielaidos'!E29+S132+G132</f>
        <v>#VALUE!</v>
      </c>
      <c r="U132" s="62" t="e">
        <f t="shared" si="56"/>
        <v>#VALUE!</v>
      </c>
      <c r="V132" s="72" t="e">
        <f t="shared" si="57"/>
        <v>#VALUE!</v>
      </c>
      <c r="W132" s="72" t="e">
        <f t="shared" si="58"/>
        <v>#VALUE!</v>
      </c>
      <c r="X132" s="57" t="e">
        <f t="shared" si="59"/>
        <v>#VALUE!</v>
      </c>
      <c r="Y132" s="57" t="e">
        <f t="shared" si="60"/>
        <v>#VALUE!</v>
      </c>
      <c r="Z132" s="57"/>
      <c r="AA132" s="57"/>
      <c r="AB132" s="57"/>
      <c r="AC132" s="57"/>
      <c r="AD132" s="57"/>
      <c r="AE132" s="57"/>
      <c r="AF132" s="57"/>
      <c r="AG132" s="57"/>
      <c r="AH132" s="57"/>
      <c r="AI132" s="57"/>
      <c r="AJ132" s="57"/>
      <c r="AK132" s="57"/>
      <c r="AL132" s="57"/>
      <c r="AM132" s="57"/>
      <c r="AN132" s="57"/>
      <c r="AO132" s="57"/>
      <c r="AP132" s="57"/>
      <c r="AQ132" s="57"/>
      <c r="AR132" s="57"/>
      <c r="AS132" s="57"/>
    </row>
    <row r="133" spans="1:45">
      <c r="A133" s="57">
        <v>10</v>
      </c>
      <c r="B133" s="57">
        <v>2029</v>
      </c>
      <c r="C133" s="62">
        <f>SUM('4. Metinis CAPEX'!I$9:I$18)</f>
        <v>0</v>
      </c>
      <c r="D133" s="62" cm="1">
        <f t="array" ref="D133">SUMPRODUCT('4. Metinis CAPEX'!I$9:I$18,IFERROR('2. Investicijos'!$N$5:$N$14/'2. Investicijos'!$H$5:$H$14,0))</f>
        <v>0</v>
      </c>
      <c r="E133" s="62" cm="1">
        <f t="array" ref="E133">SUMPRODUCT('4. Metinis CAPEX'!I$9:I$18,IFERROR(('2. Investicijos'!$I$5:$I$14+'2. Investicijos'!$J$5:$J$14+'2. Investicijos'!$K$5:$K$14+'2. Investicijos'!$L$5:$L$14)/'2. Investicijos'!$H$5:$H$14,0))</f>
        <v>0</v>
      </c>
      <c r="F133" s="62" cm="1">
        <f t="array" ref="F133">SUM('2. Investicijos'!$H$5:$H$14*'7. Pasirinktinis scenarijus'!$C$6)</f>
        <v>0</v>
      </c>
      <c r="G133" s="62" cm="1">
        <f t="array" ref="G133">IF(AND(2029&gt;=2026,2029&lt;2026+'7. Pasirinktinis scenarijus'!$C$5),SUM('2. Investicijos'!$H$5:$H$14*'7. Pasirinktinis scenarijus'!$C$6)/'7. Pasirinktinis scenarijus'!$C$5,0)</f>
        <v>0</v>
      </c>
      <c r="H133" s="62">
        <f t="shared" si="54"/>
        <v>0</v>
      </c>
      <c r="I133" s="62">
        <f>SUM(I$5:I$14)</f>
        <v>0</v>
      </c>
      <c r="J133" s="62" t="e" cm="1">
        <f t="array" ref="J133">K133+L133+MAX(0,-R132)*IFERROR(SUMPRODUCT(IF('2. Investicijos'!$N$5:$N$14&gt;('2. Investicijos'!$H$5:$H$14*'7. Pasirinktinis scenarijus'!$C$6),'2. Investicijos'!$N$5:$N$14-('2. Investicijos'!$H$5:$H$14*'7. Pasirinktinis scenarijus'!$C$6),0),'2. Investicijos'!$O$5:$O$14/100)/SUM(IF('2. Investicijos'!$N$5:$N$14&gt;('2. Investicijos'!$H$5:$H$14*'7. Pasirinktinis scenarijus'!$C$6),'2. Investicijos'!$N$5:$N$14-('2. Investicijos'!$H$5:$H$14*'7. Pasirinktinis scenarijus'!$C$6),0)),0)</f>
        <v>#VALUE!</v>
      </c>
      <c r="K133" s="62">
        <f>SUM(AC$5:AC$14)</f>
        <v>0</v>
      </c>
      <c r="L133" s="62">
        <f>SUM(S$5:S$14)</f>
        <v>0</v>
      </c>
      <c r="M133" s="62">
        <f>SUM(AM$5:AM$14)</f>
        <v>0</v>
      </c>
      <c r="N133" s="62">
        <f>'3. Finansinės prielaidos'!F30+M133</f>
        <v>0</v>
      </c>
      <c r="O133" s="62">
        <f>'3. Finansinės prielaidos'!F31</f>
        <v>0</v>
      </c>
      <c r="P133" s="62">
        <f>'3. Finansinės prielaidos'!F32</f>
        <v>0</v>
      </c>
      <c r="Q133" s="62" t="e">
        <f t="shared" si="55"/>
        <v>#VALUE!</v>
      </c>
      <c r="R133" s="62" t="e">
        <f>R132+('3. Finansinės prielaidos'!F31-'3. Finansinės prielaidos'!E31)+Q133</f>
        <v>#VALUE!</v>
      </c>
      <c r="S133" s="62" t="e" cm="1">
        <f t="array" ref="S133">SUMPRODUCT(--(2029&gt;'2. Investicijos'!$F$5:$F$14),--(2029&lt;='2. Investicijos'!$F$5:$F$14+'2. Investicijos'!$G$5:$G$14),IFERROR(('2. Investicijos'!$M$5:$M$14+IF('2. Investicijos'!$N$5:$N$14&gt;('2. Investicijos'!$H$5:$H$14*'7. Pasirinktinis scenarijus'!$C$6),'2. Investicijos'!$N$5:$N$14-('2. Investicijos'!$H$5:$H$14*'7. Pasirinktinis scenarijus'!$C$6),0)+('2. Investicijos'!$H$5:$H$14*'7. Pasirinktinis scenarijus'!$C$6))/'2. Investicijos'!$G$5:$G$14,0))+SUMPRODUCT(--(2029&gt;'2. Investicijos'!$F$5:$F$14),--(2029&lt;='2. Investicijos'!$F$5:$F$14+'2. Investicijos'!$G$5:$G$14),IFERROR(('2. Investicijos'!$M$5:$M$14+IF('2. Investicijos'!$N$5:$N$14&gt;('2. Investicijos'!$H$5:$H$14*'7. Pasirinktinis scenarijus'!$C$6),'2. Investicijos'!$N$5:$N$14-('2. Investicijos'!$H$5:$H$14*'7. Pasirinktinis scenarijus'!$C$6),0))*(1-((2029-'2. Investicijos'!$F$5:$F$14)-1)/'2. Investicijos'!$G$5:$G$14),0)*'5. 0% scenarijus'!$C$5)</f>
        <v>#VALUE!</v>
      </c>
      <c r="T133" s="62" t="e">
        <f>'3. Finansinės prielaidos'!F29+S133+G133</f>
        <v>#VALUE!</v>
      </c>
      <c r="U133" s="62" t="e">
        <f t="shared" si="56"/>
        <v>#VALUE!</v>
      </c>
      <c r="V133" s="72" t="e">
        <f t="shared" si="57"/>
        <v>#VALUE!</v>
      </c>
      <c r="W133" s="72" t="e">
        <f t="shared" si="58"/>
        <v>#VALUE!</v>
      </c>
      <c r="X133" s="57" t="e">
        <f t="shared" si="59"/>
        <v>#VALUE!</v>
      </c>
      <c r="Y133" s="57" t="e">
        <f t="shared" si="60"/>
        <v>#VALUE!</v>
      </c>
      <c r="Z133" s="57"/>
      <c r="AA133" s="57"/>
      <c r="AB133" s="57"/>
      <c r="AC133" s="57"/>
      <c r="AD133" s="57"/>
      <c r="AE133" s="57"/>
      <c r="AF133" s="57"/>
      <c r="AG133" s="57"/>
      <c r="AH133" s="57"/>
      <c r="AI133" s="57"/>
      <c r="AJ133" s="57"/>
      <c r="AK133" s="57"/>
      <c r="AL133" s="57"/>
      <c r="AM133" s="57"/>
      <c r="AN133" s="57"/>
      <c r="AO133" s="57"/>
      <c r="AP133" s="57"/>
      <c r="AQ133" s="57"/>
      <c r="AR133" s="57"/>
      <c r="AS133" s="57"/>
    </row>
    <row r="134" spans="1:45">
      <c r="A134" s="57">
        <v>10</v>
      </c>
      <c r="B134" s="57">
        <v>2030</v>
      </c>
      <c r="C134" s="62">
        <f>SUM('4. Metinis CAPEX'!J$9:J$18)</f>
        <v>0</v>
      </c>
      <c r="D134" s="62" cm="1">
        <f t="array" ref="D134">SUMPRODUCT('4. Metinis CAPEX'!J$9:J$18,IFERROR('2. Investicijos'!$N$5:$N$14/'2. Investicijos'!$H$5:$H$14,0))</f>
        <v>0</v>
      </c>
      <c r="E134" s="62" cm="1">
        <f t="array" ref="E134">SUMPRODUCT('4. Metinis CAPEX'!J$9:J$18,IFERROR(('2. Investicijos'!$I$5:$I$14+'2. Investicijos'!$J$5:$J$14+'2. Investicijos'!$K$5:$K$14+'2. Investicijos'!$L$5:$L$14)/'2. Investicijos'!$H$5:$H$14,0))</f>
        <v>0</v>
      </c>
      <c r="F134" s="62" cm="1">
        <f t="array" ref="F134">SUM('2. Investicijos'!$H$5:$H$14*'7. Pasirinktinis scenarijus'!$C$6)</f>
        <v>0</v>
      </c>
      <c r="G134" s="62" cm="1">
        <f t="array" ref="G134">IF(AND(2030&gt;=2026,2030&lt;2026+'7. Pasirinktinis scenarijus'!$C$5),SUM('2. Investicijos'!$H$5:$H$14*'7. Pasirinktinis scenarijus'!$C$6)/'7. Pasirinktinis scenarijus'!$C$5,0)</f>
        <v>0</v>
      </c>
      <c r="H134" s="62">
        <f t="shared" si="54"/>
        <v>0</v>
      </c>
      <c r="I134" s="62">
        <f>SUM(J$5:J$14)</f>
        <v>0</v>
      </c>
      <c r="J134" s="62" t="e" cm="1">
        <f t="array" ref="J134">K134+L134+MAX(0,-R133)*IFERROR(SUMPRODUCT(IF('2. Investicijos'!$N$5:$N$14&gt;('2. Investicijos'!$H$5:$H$14*'7. Pasirinktinis scenarijus'!$C$6),'2. Investicijos'!$N$5:$N$14-('2. Investicijos'!$H$5:$H$14*'7. Pasirinktinis scenarijus'!$C$6),0),'2. Investicijos'!$O$5:$O$14/100)/SUM(IF('2. Investicijos'!$N$5:$N$14&gt;('2. Investicijos'!$H$5:$H$14*'7. Pasirinktinis scenarijus'!$C$6),'2. Investicijos'!$N$5:$N$14-('2. Investicijos'!$H$5:$H$14*'7. Pasirinktinis scenarijus'!$C$6),0)),0)</f>
        <v>#VALUE!</v>
      </c>
      <c r="K134" s="62">
        <f>SUM(AD$5:AD$14)</f>
        <v>0</v>
      </c>
      <c r="L134" s="62">
        <f>SUM(T$5:T$14)</f>
        <v>0</v>
      </c>
      <c r="M134" s="62">
        <f>SUM(AN$5:AN$14)</f>
        <v>0</v>
      </c>
      <c r="N134" s="62">
        <f>'3. Finansinės prielaidos'!G30+M134</f>
        <v>0</v>
      </c>
      <c r="O134" s="62">
        <f>'3. Finansinės prielaidos'!G31</f>
        <v>0</v>
      </c>
      <c r="P134" s="62">
        <f>'3. Finansinės prielaidos'!G32</f>
        <v>0</v>
      </c>
      <c r="Q134" s="62" t="e">
        <f t="shared" si="55"/>
        <v>#VALUE!</v>
      </c>
      <c r="R134" s="62" t="e">
        <f>R133+('3. Finansinės prielaidos'!G31-'3. Finansinės prielaidos'!F31)+Q134</f>
        <v>#VALUE!</v>
      </c>
      <c r="S134" s="62" t="e" cm="1">
        <f t="array" ref="S134">SUMPRODUCT(--(2030&gt;'2. Investicijos'!$F$5:$F$14),--(2030&lt;='2. Investicijos'!$F$5:$F$14+'2. Investicijos'!$G$5:$G$14),IFERROR(('2. Investicijos'!$M$5:$M$14+IF('2. Investicijos'!$N$5:$N$14&gt;('2. Investicijos'!$H$5:$H$14*'7. Pasirinktinis scenarijus'!$C$6),'2. Investicijos'!$N$5:$N$14-('2. Investicijos'!$H$5:$H$14*'7. Pasirinktinis scenarijus'!$C$6),0)+('2. Investicijos'!$H$5:$H$14*'7. Pasirinktinis scenarijus'!$C$6))/'2. Investicijos'!$G$5:$G$14,0))+SUMPRODUCT(--(2030&gt;'2. Investicijos'!$F$5:$F$14),--(2030&lt;='2. Investicijos'!$F$5:$F$14+'2. Investicijos'!$G$5:$G$14),IFERROR(('2. Investicijos'!$M$5:$M$14+IF('2. Investicijos'!$N$5:$N$14&gt;('2. Investicijos'!$H$5:$H$14*'7. Pasirinktinis scenarijus'!$C$6),'2. Investicijos'!$N$5:$N$14-('2. Investicijos'!$H$5:$H$14*'7. Pasirinktinis scenarijus'!$C$6),0))*(1-((2030-'2. Investicijos'!$F$5:$F$14)-1)/'2. Investicijos'!$G$5:$G$14),0)*'5. 0% scenarijus'!$C$5)</f>
        <v>#VALUE!</v>
      </c>
      <c r="T134" s="62" t="e">
        <f>'3. Finansinės prielaidos'!G29+S134+G134</f>
        <v>#VALUE!</v>
      </c>
      <c r="U134" s="62" t="e">
        <f t="shared" si="56"/>
        <v>#VALUE!</v>
      </c>
      <c r="V134" s="72" t="e">
        <f t="shared" si="57"/>
        <v>#VALUE!</v>
      </c>
      <c r="W134" s="72" t="e">
        <f t="shared" si="58"/>
        <v>#VALUE!</v>
      </c>
      <c r="X134" s="57" t="e">
        <f t="shared" si="59"/>
        <v>#VALUE!</v>
      </c>
      <c r="Y134" s="57" t="e">
        <f t="shared" si="60"/>
        <v>#VALUE!</v>
      </c>
      <c r="Z134" s="57"/>
      <c r="AA134" s="57"/>
      <c r="AB134" s="57"/>
      <c r="AC134" s="57"/>
      <c r="AD134" s="57"/>
      <c r="AE134" s="57"/>
      <c r="AF134" s="57"/>
      <c r="AG134" s="57"/>
      <c r="AH134" s="57"/>
      <c r="AI134" s="57"/>
      <c r="AJ134" s="57"/>
      <c r="AK134" s="57"/>
      <c r="AL134" s="57"/>
      <c r="AM134" s="57"/>
      <c r="AN134" s="57"/>
      <c r="AO134" s="57"/>
      <c r="AP134" s="57"/>
      <c r="AQ134" s="57"/>
      <c r="AR134" s="57"/>
      <c r="AS134" s="57"/>
    </row>
    <row r="135" spans="1:45">
      <c r="A135" s="57">
        <v>10</v>
      </c>
      <c r="B135" s="57">
        <v>2031</v>
      </c>
      <c r="C135" s="62">
        <f>SUM('4. Metinis CAPEX'!K$9:K$18)</f>
        <v>0</v>
      </c>
      <c r="D135" s="62" cm="1">
        <f t="array" ref="D135">SUMPRODUCT('4. Metinis CAPEX'!K$9:K$18,IFERROR('2. Investicijos'!$N$5:$N$14/'2. Investicijos'!$H$5:$H$14,0))</f>
        <v>0</v>
      </c>
      <c r="E135" s="62" cm="1">
        <f t="array" ref="E135">SUMPRODUCT('4. Metinis CAPEX'!K$9:K$18,IFERROR(('2. Investicijos'!$I$5:$I$14+'2. Investicijos'!$J$5:$J$14+'2. Investicijos'!$K$5:$K$14+'2. Investicijos'!$L$5:$L$14)/'2. Investicijos'!$H$5:$H$14,0))</f>
        <v>0</v>
      </c>
      <c r="F135" s="62" cm="1">
        <f t="array" ref="F135">SUM('2. Investicijos'!$H$5:$H$14*'7. Pasirinktinis scenarijus'!$C$6)</f>
        <v>0</v>
      </c>
      <c r="G135" s="62" cm="1">
        <f t="array" ref="G135">IF(AND(2031&gt;=2026,2031&lt;2026+'7. Pasirinktinis scenarijus'!$C$5),SUM('2. Investicijos'!$H$5:$H$14*'7. Pasirinktinis scenarijus'!$C$6)/'7. Pasirinktinis scenarijus'!$C$5,0)</f>
        <v>0</v>
      </c>
      <c r="H135" s="62">
        <f t="shared" si="54"/>
        <v>0</v>
      </c>
      <c r="I135" s="62">
        <f>SUM(K$5:K$14)</f>
        <v>0</v>
      </c>
      <c r="J135" s="62" t="e" cm="1">
        <f t="array" ref="J135">K135+L135+MAX(0,-R134)*IFERROR(SUMPRODUCT(IF('2. Investicijos'!$N$5:$N$14&gt;('2. Investicijos'!$H$5:$H$14*'7. Pasirinktinis scenarijus'!$C$6),'2. Investicijos'!$N$5:$N$14-('2. Investicijos'!$H$5:$H$14*'7. Pasirinktinis scenarijus'!$C$6),0),'2. Investicijos'!$O$5:$O$14/100)/SUM(IF('2. Investicijos'!$N$5:$N$14&gt;('2. Investicijos'!$H$5:$H$14*'7. Pasirinktinis scenarijus'!$C$6),'2. Investicijos'!$N$5:$N$14-('2. Investicijos'!$H$5:$H$14*'7. Pasirinktinis scenarijus'!$C$6),0)),0)</f>
        <v>#VALUE!</v>
      </c>
      <c r="K135" s="62">
        <f>SUM(AE$5:AE$14)</f>
        <v>0</v>
      </c>
      <c r="L135" s="62">
        <f>SUM(U$5:U$14)</f>
        <v>0</v>
      </c>
      <c r="M135" s="62">
        <f>SUM(AO$5:AO$14)</f>
        <v>0</v>
      </c>
      <c r="N135" s="62">
        <f>'3. Finansinės prielaidos'!H30+M135</f>
        <v>0</v>
      </c>
      <c r="O135" s="62">
        <f>'3. Finansinės prielaidos'!H31</f>
        <v>0</v>
      </c>
      <c r="P135" s="62">
        <f>'3. Finansinės prielaidos'!H32</f>
        <v>0</v>
      </c>
      <c r="Q135" s="62" t="e">
        <f t="shared" si="55"/>
        <v>#VALUE!</v>
      </c>
      <c r="R135" s="62" t="e">
        <f>R134+('3. Finansinės prielaidos'!H31-'3. Finansinės prielaidos'!G31)+Q135</f>
        <v>#VALUE!</v>
      </c>
      <c r="S135" s="62" t="e" cm="1">
        <f t="array" ref="S135">SUMPRODUCT(--(2031&gt;'2. Investicijos'!$F$5:$F$14),--(2031&lt;='2. Investicijos'!$F$5:$F$14+'2. Investicijos'!$G$5:$G$14),IFERROR(('2. Investicijos'!$M$5:$M$14+IF('2. Investicijos'!$N$5:$N$14&gt;('2. Investicijos'!$H$5:$H$14*'7. Pasirinktinis scenarijus'!$C$6),'2. Investicijos'!$N$5:$N$14-('2. Investicijos'!$H$5:$H$14*'7. Pasirinktinis scenarijus'!$C$6),0)+('2. Investicijos'!$H$5:$H$14*'7. Pasirinktinis scenarijus'!$C$6))/'2. Investicijos'!$G$5:$G$14,0))+SUMPRODUCT(--(2031&gt;'2. Investicijos'!$F$5:$F$14),--(2031&lt;='2. Investicijos'!$F$5:$F$14+'2. Investicijos'!$G$5:$G$14),IFERROR(('2. Investicijos'!$M$5:$M$14+IF('2. Investicijos'!$N$5:$N$14&gt;('2. Investicijos'!$H$5:$H$14*'7. Pasirinktinis scenarijus'!$C$6),'2. Investicijos'!$N$5:$N$14-('2. Investicijos'!$H$5:$H$14*'7. Pasirinktinis scenarijus'!$C$6),0))*(1-((2031-'2. Investicijos'!$F$5:$F$14)-1)/'2. Investicijos'!$G$5:$G$14),0)*'5. 0% scenarijus'!$C$5)</f>
        <v>#VALUE!</v>
      </c>
      <c r="T135" s="62" t="e">
        <f>'3. Finansinės prielaidos'!H29+S135+G135</f>
        <v>#VALUE!</v>
      </c>
      <c r="U135" s="62" t="e">
        <f t="shared" si="56"/>
        <v>#VALUE!</v>
      </c>
      <c r="V135" s="72" t="e">
        <f t="shared" si="57"/>
        <v>#VALUE!</v>
      </c>
      <c r="W135" s="72" t="e">
        <f t="shared" si="58"/>
        <v>#VALUE!</v>
      </c>
      <c r="X135" s="57" t="e">
        <f t="shared" si="59"/>
        <v>#VALUE!</v>
      </c>
      <c r="Y135" s="57" t="e">
        <f t="shared" si="60"/>
        <v>#VALUE!</v>
      </c>
      <c r="Z135" s="57"/>
      <c r="AA135" s="57"/>
      <c r="AB135" s="57"/>
      <c r="AC135" s="57"/>
      <c r="AD135" s="57"/>
      <c r="AE135" s="57"/>
      <c r="AF135" s="57"/>
      <c r="AG135" s="57"/>
      <c r="AH135" s="57"/>
      <c r="AI135" s="57"/>
      <c r="AJ135" s="57"/>
      <c r="AK135" s="57"/>
      <c r="AL135" s="57"/>
      <c r="AM135" s="57"/>
      <c r="AN135" s="57"/>
      <c r="AO135" s="57"/>
      <c r="AP135" s="57"/>
      <c r="AQ135" s="57"/>
      <c r="AR135" s="57"/>
      <c r="AS135" s="57"/>
    </row>
    <row r="136" spans="1:45">
      <c r="A136" s="57">
        <v>10</v>
      </c>
      <c r="B136" s="57">
        <v>2032</v>
      </c>
      <c r="C136" s="62">
        <f>SUM('4. Metinis CAPEX'!L$9:L$18)</f>
        <v>0</v>
      </c>
      <c r="D136" s="62" cm="1">
        <f t="array" ref="D136">SUMPRODUCT('4. Metinis CAPEX'!L$9:L$18,IFERROR('2. Investicijos'!$N$5:$N$14/'2. Investicijos'!$H$5:$H$14,0))</f>
        <v>0</v>
      </c>
      <c r="E136" s="62" cm="1">
        <f t="array" ref="E136">SUMPRODUCT('4. Metinis CAPEX'!L$9:L$18,IFERROR(('2. Investicijos'!$I$5:$I$14+'2. Investicijos'!$J$5:$J$14+'2. Investicijos'!$K$5:$K$14+'2. Investicijos'!$L$5:$L$14)/'2. Investicijos'!$H$5:$H$14,0))</f>
        <v>0</v>
      </c>
      <c r="F136" s="62" cm="1">
        <f t="array" ref="F136">SUM('2. Investicijos'!$H$5:$H$14*'7. Pasirinktinis scenarijus'!$C$6)</f>
        <v>0</v>
      </c>
      <c r="G136" s="62" cm="1">
        <f t="array" ref="G136">IF(AND(2032&gt;=2026,2032&lt;2026+'7. Pasirinktinis scenarijus'!$C$5),SUM('2. Investicijos'!$H$5:$H$14*'7. Pasirinktinis scenarijus'!$C$6)/'7. Pasirinktinis scenarijus'!$C$5,0)</f>
        <v>0</v>
      </c>
      <c r="H136" s="62">
        <f t="shared" ref="H136:H167" si="61">D136-I136</f>
        <v>0</v>
      </c>
      <c r="I136" s="62">
        <f>SUM(L$5:L$14)</f>
        <v>0</v>
      </c>
      <c r="J136" s="62" t="e" cm="1">
        <f t="array" ref="J136">K136+L136+MAX(0,-R135)*IFERROR(SUMPRODUCT(IF('2. Investicijos'!$N$5:$N$14&gt;('2. Investicijos'!$H$5:$H$14*'7. Pasirinktinis scenarijus'!$C$6),'2. Investicijos'!$N$5:$N$14-('2. Investicijos'!$H$5:$H$14*'7. Pasirinktinis scenarijus'!$C$6),0),'2. Investicijos'!$O$5:$O$14/100)/SUM(IF('2. Investicijos'!$N$5:$N$14&gt;('2. Investicijos'!$H$5:$H$14*'7. Pasirinktinis scenarijus'!$C$6),'2. Investicijos'!$N$5:$N$14-('2. Investicijos'!$H$5:$H$14*'7. Pasirinktinis scenarijus'!$C$6),0)),0)</f>
        <v>#VALUE!</v>
      </c>
      <c r="K136" s="62">
        <f>SUM(AF$5:AF$14)</f>
        <v>0</v>
      </c>
      <c r="L136" s="62">
        <f>SUM(V$5:V$14)</f>
        <v>0</v>
      </c>
      <c r="M136" s="62">
        <f>SUM(AP$5:AP$14)</f>
        <v>0</v>
      </c>
      <c r="N136" s="62">
        <f>'3. Finansinės prielaidos'!I30+M136</f>
        <v>0</v>
      </c>
      <c r="O136" s="62">
        <f>'3. Finansinės prielaidos'!I31</f>
        <v>0</v>
      </c>
      <c r="P136" s="62">
        <f>'3. Finansinės prielaidos'!I32</f>
        <v>0</v>
      </c>
      <c r="Q136" s="62" t="e">
        <f t="shared" ref="Q136:Q167" si="62">S136+G136+I136+E136-C136-J136</f>
        <v>#VALUE!</v>
      </c>
      <c r="R136" s="62" t="e">
        <f>R135+('3. Finansinės prielaidos'!I31-'3. Finansinės prielaidos'!H31)+Q136</f>
        <v>#VALUE!</v>
      </c>
      <c r="S136" s="62" t="e" cm="1">
        <f t="array" ref="S136">SUMPRODUCT(--(2032&gt;'2. Investicijos'!$F$5:$F$14),--(2032&lt;='2. Investicijos'!$F$5:$F$14+'2. Investicijos'!$G$5:$G$14),IFERROR(('2. Investicijos'!$M$5:$M$14+IF('2. Investicijos'!$N$5:$N$14&gt;('2. Investicijos'!$H$5:$H$14*'7. Pasirinktinis scenarijus'!$C$6),'2. Investicijos'!$N$5:$N$14-('2. Investicijos'!$H$5:$H$14*'7. Pasirinktinis scenarijus'!$C$6),0)+('2. Investicijos'!$H$5:$H$14*'7. Pasirinktinis scenarijus'!$C$6))/'2. Investicijos'!$G$5:$G$14,0))+SUMPRODUCT(--(2032&gt;'2. Investicijos'!$F$5:$F$14),--(2032&lt;='2. Investicijos'!$F$5:$F$14+'2. Investicijos'!$G$5:$G$14),IFERROR(('2. Investicijos'!$M$5:$M$14+IF('2. Investicijos'!$N$5:$N$14&gt;('2. Investicijos'!$H$5:$H$14*'7. Pasirinktinis scenarijus'!$C$6),'2. Investicijos'!$N$5:$N$14-('2. Investicijos'!$H$5:$H$14*'7. Pasirinktinis scenarijus'!$C$6),0))*(1-((2032-'2. Investicijos'!$F$5:$F$14)-1)/'2. Investicijos'!$G$5:$G$14),0)*'5. 0% scenarijus'!$C$5)</f>
        <v>#VALUE!</v>
      </c>
      <c r="T136" s="62" t="e">
        <f>'3. Finansinės prielaidos'!I29+S136+G136</f>
        <v>#VALUE!</v>
      </c>
      <c r="U136" s="62" t="e">
        <f t="shared" ref="U136:U167" si="63">N136-R136</f>
        <v>#VALUE!</v>
      </c>
      <c r="V136" s="72" t="e">
        <f t="shared" ref="V136:V167" si="64">IF(OR(T136="",T136&lt;=0),"",U136/T136)</f>
        <v>#VALUE!</v>
      </c>
      <c r="W136" s="72" t="e">
        <f t="shared" ref="W136:W167" si="65">IF(T136&lt;=0,"",IF(P136+J136=0,999999,T136/(P136+J136)))</f>
        <v>#VALUE!</v>
      </c>
      <c r="X136" s="57" t="e">
        <f t="shared" ref="X136:X167" si="66">IF(OR(V136="",W136=""),"",IF(AND(V136&lt;=5.5,W136&gt;=1.2),"ATITINKA","NEATITINKA"))</f>
        <v>#VALUE!</v>
      </c>
      <c r="Y136" s="57" t="e">
        <f t="shared" ref="Y136:Y167" si="67">IF(X136&lt;&gt;"NEATITINKA","",IF(T136&lt;=0,"EBITDA ≤ 0",IF(AND(V136&gt;5.5,W136&lt;1.2),"Abu",IF(V136&gt;5.5,"Net Debt / EBITDA","DSCR"))))</f>
        <v>#VALUE!</v>
      </c>
      <c r="Z136" s="57"/>
      <c r="AA136" s="57"/>
      <c r="AB136" s="57"/>
      <c r="AC136" s="57"/>
      <c r="AD136" s="57"/>
      <c r="AE136" s="57"/>
      <c r="AF136" s="57"/>
      <c r="AG136" s="57"/>
      <c r="AH136" s="57"/>
      <c r="AI136" s="57"/>
      <c r="AJ136" s="57"/>
      <c r="AK136" s="57"/>
      <c r="AL136" s="57"/>
      <c r="AM136" s="57"/>
      <c r="AN136" s="57"/>
      <c r="AO136" s="57"/>
      <c r="AP136" s="57"/>
      <c r="AQ136" s="57"/>
      <c r="AR136" s="57"/>
      <c r="AS136" s="57"/>
    </row>
    <row r="137" spans="1:45">
      <c r="A137" s="57">
        <v>10</v>
      </c>
      <c r="B137" s="57">
        <v>2033</v>
      </c>
      <c r="C137" s="62">
        <f>SUM('4. Metinis CAPEX'!M$9:M$18)</f>
        <v>0</v>
      </c>
      <c r="D137" s="62" cm="1">
        <f t="array" ref="D137">SUMPRODUCT('4. Metinis CAPEX'!M$9:M$18,IFERROR('2. Investicijos'!$N$5:$N$14/'2. Investicijos'!$H$5:$H$14,0))</f>
        <v>0</v>
      </c>
      <c r="E137" s="62" cm="1">
        <f t="array" ref="E137">SUMPRODUCT('4. Metinis CAPEX'!M$9:M$18,IFERROR(('2. Investicijos'!$I$5:$I$14+'2. Investicijos'!$J$5:$J$14+'2. Investicijos'!$K$5:$K$14+'2. Investicijos'!$L$5:$L$14)/'2. Investicijos'!$H$5:$H$14,0))</f>
        <v>0</v>
      </c>
      <c r="F137" s="62" cm="1">
        <f t="array" ref="F137">SUM('2. Investicijos'!$H$5:$H$14*'7. Pasirinktinis scenarijus'!$C$6)</f>
        <v>0</v>
      </c>
      <c r="G137" s="62" cm="1">
        <f t="array" ref="G137">IF(AND(2033&gt;=2026,2033&lt;2026+'7. Pasirinktinis scenarijus'!$C$5),SUM('2. Investicijos'!$H$5:$H$14*'7. Pasirinktinis scenarijus'!$C$6)/'7. Pasirinktinis scenarijus'!$C$5,0)</f>
        <v>0</v>
      </c>
      <c r="H137" s="62">
        <f t="shared" si="61"/>
        <v>0</v>
      </c>
      <c r="I137" s="62">
        <f>SUM(M$5:M$14)</f>
        <v>0</v>
      </c>
      <c r="J137" s="62" t="e" cm="1">
        <f t="array" ref="J137">K137+L137+MAX(0,-R136)*IFERROR(SUMPRODUCT(IF('2. Investicijos'!$N$5:$N$14&gt;('2. Investicijos'!$H$5:$H$14*'7. Pasirinktinis scenarijus'!$C$6),'2. Investicijos'!$N$5:$N$14-('2. Investicijos'!$H$5:$H$14*'7. Pasirinktinis scenarijus'!$C$6),0),'2. Investicijos'!$O$5:$O$14/100)/SUM(IF('2. Investicijos'!$N$5:$N$14&gt;('2. Investicijos'!$H$5:$H$14*'7. Pasirinktinis scenarijus'!$C$6),'2. Investicijos'!$N$5:$N$14-('2. Investicijos'!$H$5:$H$14*'7. Pasirinktinis scenarijus'!$C$6),0)),0)</f>
        <v>#VALUE!</v>
      </c>
      <c r="K137" s="62">
        <f>SUM(AG$5:AG$14)</f>
        <v>0</v>
      </c>
      <c r="L137" s="62">
        <f>SUM(W$5:W$14)</f>
        <v>0</v>
      </c>
      <c r="M137" s="62">
        <f>SUM(AQ$5:AQ$14)</f>
        <v>0</v>
      </c>
      <c r="N137" s="62">
        <f>'3. Finansinės prielaidos'!J30+M137</f>
        <v>0</v>
      </c>
      <c r="O137" s="62">
        <f>'3. Finansinės prielaidos'!J31</f>
        <v>0</v>
      </c>
      <c r="P137" s="62">
        <f>'3. Finansinės prielaidos'!J32</f>
        <v>0</v>
      </c>
      <c r="Q137" s="62" t="e">
        <f t="shared" si="62"/>
        <v>#VALUE!</v>
      </c>
      <c r="R137" s="62" t="e">
        <f>R136+('3. Finansinės prielaidos'!J31-'3. Finansinės prielaidos'!I31)+Q137</f>
        <v>#VALUE!</v>
      </c>
      <c r="S137" s="62" t="e" cm="1">
        <f t="array" ref="S137">SUMPRODUCT(--(2033&gt;'2. Investicijos'!$F$5:$F$14),--(2033&lt;='2. Investicijos'!$F$5:$F$14+'2. Investicijos'!$G$5:$G$14),IFERROR(('2. Investicijos'!$M$5:$M$14+IF('2. Investicijos'!$N$5:$N$14&gt;('2. Investicijos'!$H$5:$H$14*'7. Pasirinktinis scenarijus'!$C$6),'2. Investicijos'!$N$5:$N$14-('2. Investicijos'!$H$5:$H$14*'7. Pasirinktinis scenarijus'!$C$6),0)+('2. Investicijos'!$H$5:$H$14*'7. Pasirinktinis scenarijus'!$C$6))/'2. Investicijos'!$G$5:$G$14,0))+SUMPRODUCT(--(2033&gt;'2. Investicijos'!$F$5:$F$14),--(2033&lt;='2. Investicijos'!$F$5:$F$14+'2. Investicijos'!$G$5:$G$14),IFERROR(('2. Investicijos'!$M$5:$M$14+IF('2. Investicijos'!$N$5:$N$14&gt;('2. Investicijos'!$H$5:$H$14*'7. Pasirinktinis scenarijus'!$C$6),'2. Investicijos'!$N$5:$N$14-('2. Investicijos'!$H$5:$H$14*'7. Pasirinktinis scenarijus'!$C$6),0))*(1-((2033-'2. Investicijos'!$F$5:$F$14)-1)/'2. Investicijos'!$G$5:$G$14),0)*'5. 0% scenarijus'!$C$5)</f>
        <v>#VALUE!</v>
      </c>
      <c r="T137" s="62" t="e">
        <f>'3. Finansinės prielaidos'!J29+S137+G137</f>
        <v>#VALUE!</v>
      </c>
      <c r="U137" s="62" t="e">
        <f t="shared" si="63"/>
        <v>#VALUE!</v>
      </c>
      <c r="V137" s="72" t="e">
        <f t="shared" si="64"/>
        <v>#VALUE!</v>
      </c>
      <c r="W137" s="72" t="e">
        <f t="shared" si="65"/>
        <v>#VALUE!</v>
      </c>
      <c r="X137" s="57" t="e">
        <f t="shared" si="66"/>
        <v>#VALUE!</v>
      </c>
      <c r="Y137" s="57" t="e">
        <f t="shared" si="67"/>
        <v>#VALUE!</v>
      </c>
      <c r="Z137" s="57"/>
      <c r="AA137" s="57"/>
      <c r="AB137" s="57"/>
      <c r="AC137" s="57"/>
      <c r="AD137" s="57"/>
      <c r="AE137" s="57"/>
      <c r="AF137" s="57"/>
      <c r="AG137" s="57"/>
      <c r="AH137" s="57"/>
      <c r="AI137" s="57"/>
      <c r="AJ137" s="57"/>
      <c r="AK137" s="57"/>
      <c r="AL137" s="57"/>
      <c r="AM137" s="57"/>
      <c r="AN137" s="57"/>
      <c r="AO137" s="57"/>
      <c r="AP137" s="57"/>
      <c r="AQ137" s="57"/>
      <c r="AR137" s="57"/>
      <c r="AS137" s="57"/>
    </row>
    <row r="138" spans="1:45">
      <c r="A138" s="57">
        <v>10</v>
      </c>
      <c r="B138" s="57">
        <v>2034</v>
      </c>
      <c r="C138" s="62">
        <f>SUM('4. Metinis CAPEX'!N$9:N$18)</f>
        <v>0</v>
      </c>
      <c r="D138" s="62" cm="1">
        <f t="array" ref="D138">SUMPRODUCT('4. Metinis CAPEX'!N$9:N$18,IFERROR('2. Investicijos'!$N$5:$N$14/'2. Investicijos'!$H$5:$H$14,0))</f>
        <v>0</v>
      </c>
      <c r="E138" s="62" cm="1">
        <f t="array" ref="E138">SUMPRODUCT('4. Metinis CAPEX'!N$9:N$18,IFERROR(('2. Investicijos'!$I$5:$I$14+'2. Investicijos'!$J$5:$J$14+'2. Investicijos'!$K$5:$K$14+'2. Investicijos'!$L$5:$L$14)/'2. Investicijos'!$H$5:$H$14,0))</f>
        <v>0</v>
      </c>
      <c r="F138" s="62" cm="1">
        <f t="array" ref="F138">SUM('2. Investicijos'!$H$5:$H$14*'7. Pasirinktinis scenarijus'!$C$6)</f>
        <v>0</v>
      </c>
      <c r="G138" s="62" cm="1">
        <f t="array" ref="G138">IF(AND(2034&gt;=2026,2034&lt;2026+'7. Pasirinktinis scenarijus'!$C$5),SUM('2. Investicijos'!$H$5:$H$14*'7. Pasirinktinis scenarijus'!$C$6)/'7. Pasirinktinis scenarijus'!$C$5,0)</f>
        <v>0</v>
      </c>
      <c r="H138" s="62">
        <f t="shared" si="61"/>
        <v>0</v>
      </c>
      <c r="I138" s="62">
        <f>SUM(N$5:N$14)</f>
        <v>0</v>
      </c>
      <c r="J138" s="62" t="e" cm="1">
        <f t="array" ref="J138">K138+L138+MAX(0,-R137)*IFERROR(SUMPRODUCT(IF('2. Investicijos'!$N$5:$N$14&gt;('2. Investicijos'!$H$5:$H$14*'7. Pasirinktinis scenarijus'!$C$6),'2. Investicijos'!$N$5:$N$14-('2. Investicijos'!$H$5:$H$14*'7. Pasirinktinis scenarijus'!$C$6),0),'2. Investicijos'!$O$5:$O$14/100)/SUM(IF('2. Investicijos'!$N$5:$N$14&gt;('2. Investicijos'!$H$5:$H$14*'7. Pasirinktinis scenarijus'!$C$6),'2. Investicijos'!$N$5:$N$14-('2. Investicijos'!$H$5:$H$14*'7. Pasirinktinis scenarijus'!$C$6),0)),0)</f>
        <v>#VALUE!</v>
      </c>
      <c r="K138" s="62">
        <f>SUM(AH$5:AH$14)</f>
        <v>0</v>
      </c>
      <c r="L138" s="62">
        <f>SUM(X$5:X$14)</f>
        <v>0</v>
      </c>
      <c r="M138" s="62">
        <f>SUM(AR$5:AR$14)</f>
        <v>0</v>
      </c>
      <c r="N138" s="62">
        <f>'3. Finansinės prielaidos'!K30+M138</f>
        <v>0</v>
      </c>
      <c r="O138" s="62">
        <f>'3. Finansinės prielaidos'!K31</f>
        <v>0</v>
      </c>
      <c r="P138" s="62">
        <f>'3. Finansinės prielaidos'!K32</f>
        <v>0</v>
      </c>
      <c r="Q138" s="62" t="e">
        <f t="shared" si="62"/>
        <v>#VALUE!</v>
      </c>
      <c r="R138" s="62" t="e">
        <f>R137+('3. Finansinės prielaidos'!K31-'3. Finansinės prielaidos'!J31)+Q138</f>
        <v>#VALUE!</v>
      </c>
      <c r="S138" s="62" t="e" cm="1">
        <f t="array" ref="S138">SUMPRODUCT(--(2034&gt;'2. Investicijos'!$F$5:$F$14),--(2034&lt;='2. Investicijos'!$F$5:$F$14+'2. Investicijos'!$G$5:$G$14),IFERROR(('2. Investicijos'!$M$5:$M$14+IF('2. Investicijos'!$N$5:$N$14&gt;('2. Investicijos'!$H$5:$H$14*'7. Pasirinktinis scenarijus'!$C$6),'2. Investicijos'!$N$5:$N$14-('2. Investicijos'!$H$5:$H$14*'7. Pasirinktinis scenarijus'!$C$6),0)+('2. Investicijos'!$H$5:$H$14*'7. Pasirinktinis scenarijus'!$C$6))/'2. Investicijos'!$G$5:$G$14,0))+SUMPRODUCT(--(2034&gt;'2. Investicijos'!$F$5:$F$14),--(2034&lt;='2. Investicijos'!$F$5:$F$14+'2. Investicijos'!$G$5:$G$14),IFERROR(('2. Investicijos'!$M$5:$M$14+IF('2. Investicijos'!$N$5:$N$14&gt;('2. Investicijos'!$H$5:$H$14*'7. Pasirinktinis scenarijus'!$C$6),'2. Investicijos'!$N$5:$N$14-('2. Investicijos'!$H$5:$H$14*'7. Pasirinktinis scenarijus'!$C$6),0))*(1-((2034-'2. Investicijos'!$F$5:$F$14)-1)/'2. Investicijos'!$G$5:$G$14),0)*'5. 0% scenarijus'!$C$5)</f>
        <v>#VALUE!</v>
      </c>
      <c r="T138" s="62" t="e">
        <f>'3. Finansinės prielaidos'!K29+S138+G138</f>
        <v>#VALUE!</v>
      </c>
      <c r="U138" s="62" t="e">
        <f t="shared" si="63"/>
        <v>#VALUE!</v>
      </c>
      <c r="V138" s="72" t="e">
        <f t="shared" si="64"/>
        <v>#VALUE!</v>
      </c>
      <c r="W138" s="72" t="e">
        <f t="shared" si="65"/>
        <v>#VALUE!</v>
      </c>
      <c r="X138" s="57" t="e">
        <f t="shared" si="66"/>
        <v>#VALUE!</v>
      </c>
      <c r="Y138" s="57" t="e">
        <f t="shared" si="67"/>
        <v>#VALUE!</v>
      </c>
      <c r="Z138" s="57"/>
      <c r="AA138" s="57"/>
      <c r="AB138" s="57"/>
      <c r="AC138" s="57"/>
      <c r="AD138" s="57"/>
      <c r="AE138" s="57"/>
      <c r="AF138" s="57"/>
      <c r="AG138" s="57"/>
      <c r="AH138" s="57"/>
      <c r="AI138" s="57"/>
      <c r="AJ138" s="57"/>
      <c r="AK138" s="57"/>
      <c r="AL138" s="57"/>
      <c r="AM138" s="57"/>
      <c r="AN138" s="57"/>
      <c r="AO138" s="57"/>
      <c r="AP138" s="57"/>
      <c r="AQ138" s="57"/>
      <c r="AR138" s="57"/>
      <c r="AS138" s="57"/>
    </row>
    <row r="139" spans="1:45">
      <c r="A139" s="57">
        <v>10</v>
      </c>
      <c r="B139" s="57">
        <v>2035</v>
      </c>
      <c r="C139" s="62">
        <f>SUM('4. Metinis CAPEX'!O$9:O$18)</f>
        <v>0</v>
      </c>
      <c r="D139" s="62" cm="1">
        <f t="array" ref="D139">SUMPRODUCT('4. Metinis CAPEX'!O$9:O$18,IFERROR('2. Investicijos'!$N$5:$N$14/'2. Investicijos'!$H$5:$H$14,0))</f>
        <v>0</v>
      </c>
      <c r="E139" s="62" cm="1">
        <f t="array" ref="E139">SUMPRODUCT('4. Metinis CAPEX'!O$9:O$18,IFERROR(('2. Investicijos'!$I$5:$I$14+'2. Investicijos'!$J$5:$J$14+'2. Investicijos'!$K$5:$K$14+'2. Investicijos'!$L$5:$L$14)/'2. Investicijos'!$H$5:$H$14,0))</f>
        <v>0</v>
      </c>
      <c r="F139" s="62" cm="1">
        <f t="array" ref="F139">SUM('2. Investicijos'!$H$5:$H$14*'7. Pasirinktinis scenarijus'!$C$6)</f>
        <v>0</v>
      </c>
      <c r="G139" s="62" cm="1">
        <f t="array" ref="G139">IF(AND(2035&gt;=2026,2035&lt;2026+'7. Pasirinktinis scenarijus'!$C$5),SUM('2. Investicijos'!$H$5:$H$14*'7. Pasirinktinis scenarijus'!$C$6)/'7. Pasirinktinis scenarijus'!$C$5,0)</f>
        <v>0</v>
      </c>
      <c r="H139" s="62">
        <f t="shared" si="61"/>
        <v>0</v>
      </c>
      <c r="I139" s="62">
        <f>SUM(O$5:O$14)</f>
        <v>0</v>
      </c>
      <c r="J139" s="62" t="e" cm="1">
        <f t="array" ref="J139">K139+L139+MAX(0,-R138)*IFERROR(SUMPRODUCT(IF('2. Investicijos'!$N$5:$N$14&gt;('2. Investicijos'!$H$5:$H$14*'7. Pasirinktinis scenarijus'!$C$6),'2. Investicijos'!$N$5:$N$14-('2. Investicijos'!$H$5:$H$14*'7. Pasirinktinis scenarijus'!$C$6),0),'2. Investicijos'!$O$5:$O$14/100)/SUM(IF('2. Investicijos'!$N$5:$N$14&gt;('2. Investicijos'!$H$5:$H$14*'7. Pasirinktinis scenarijus'!$C$6),'2. Investicijos'!$N$5:$N$14-('2. Investicijos'!$H$5:$H$14*'7. Pasirinktinis scenarijus'!$C$6),0)),0)</f>
        <v>#VALUE!</v>
      </c>
      <c r="K139" s="62">
        <f>SUM(AI$5:AI$14)</f>
        <v>0</v>
      </c>
      <c r="L139" s="62">
        <f>SUM(Y$5:Y$14)</f>
        <v>0</v>
      </c>
      <c r="M139" s="62">
        <f>SUM(AS$5:AS$14)</f>
        <v>0</v>
      </c>
      <c r="N139" s="62">
        <f>'3. Finansinės prielaidos'!L30+M139</f>
        <v>0</v>
      </c>
      <c r="O139" s="62">
        <f>'3. Finansinės prielaidos'!L31</f>
        <v>0</v>
      </c>
      <c r="P139" s="62">
        <f>'3. Finansinės prielaidos'!L32</f>
        <v>0</v>
      </c>
      <c r="Q139" s="62" t="e">
        <f t="shared" si="62"/>
        <v>#VALUE!</v>
      </c>
      <c r="R139" s="62" t="e">
        <f>R138+('3. Finansinės prielaidos'!L31-'3. Finansinės prielaidos'!K31)+Q139</f>
        <v>#VALUE!</v>
      </c>
      <c r="S139" s="62" t="e" cm="1">
        <f t="array" ref="S139">SUMPRODUCT(--(2035&gt;'2. Investicijos'!$F$5:$F$14),--(2035&lt;='2. Investicijos'!$F$5:$F$14+'2. Investicijos'!$G$5:$G$14),IFERROR(('2. Investicijos'!$M$5:$M$14+IF('2. Investicijos'!$N$5:$N$14&gt;('2. Investicijos'!$H$5:$H$14*'7. Pasirinktinis scenarijus'!$C$6),'2. Investicijos'!$N$5:$N$14-('2. Investicijos'!$H$5:$H$14*'7. Pasirinktinis scenarijus'!$C$6),0)+('2. Investicijos'!$H$5:$H$14*'7. Pasirinktinis scenarijus'!$C$6))/'2. Investicijos'!$G$5:$G$14,0))+SUMPRODUCT(--(2035&gt;'2. Investicijos'!$F$5:$F$14),--(2035&lt;='2. Investicijos'!$F$5:$F$14+'2. Investicijos'!$G$5:$G$14),IFERROR(('2. Investicijos'!$M$5:$M$14+IF('2. Investicijos'!$N$5:$N$14&gt;('2. Investicijos'!$H$5:$H$14*'7. Pasirinktinis scenarijus'!$C$6),'2. Investicijos'!$N$5:$N$14-('2. Investicijos'!$H$5:$H$14*'7. Pasirinktinis scenarijus'!$C$6),0))*(1-((2035-'2. Investicijos'!$F$5:$F$14)-1)/'2. Investicijos'!$G$5:$G$14),0)*'5. 0% scenarijus'!$C$5)</f>
        <v>#VALUE!</v>
      </c>
      <c r="T139" s="62" t="e">
        <f>'3. Finansinės prielaidos'!L29+S139+G139</f>
        <v>#VALUE!</v>
      </c>
      <c r="U139" s="62" t="e">
        <f t="shared" si="63"/>
        <v>#VALUE!</v>
      </c>
      <c r="V139" s="72" t="e">
        <f t="shared" si="64"/>
        <v>#VALUE!</v>
      </c>
      <c r="W139" s="72" t="e">
        <f t="shared" si="65"/>
        <v>#VALUE!</v>
      </c>
      <c r="X139" s="57" t="e">
        <f t="shared" si="66"/>
        <v>#VALUE!</v>
      </c>
      <c r="Y139" s="57" t="e">
        <f t="shared" si="67"/>
        <v>#VALUE!</v>
      </c>
      <c r="Z139" s="57"/>
      <c r="AA139" s="57"/>
      <c r="AB139" s="57"/>
      <c r="AC139" s="57"/>
      <c r="AD139" s="57"/>
      <c r="AE139" s="57"/>
      <c r="AF139" s="57"/>
      <c r="AG139" s="57"/>
      <c r="AH139" s="57"/>
      <c r="AI139" s="57"/>
      <c r="AJ139" s="57"/>
      <c r="AK139" s="57"/>
      <c r="AL139" s="57"/>
      <c r="AM139" s="57"/>
      <c r="AN139" s="57"/>
      <c r="AO139" s="57"/>
      <c r="AP139" s="57"/>
      <c r="AQ139" s="57"/>
      <c r="AR139" s="57"/>
      <c r="AS139" s="57"/>
    </row>
    <row r="140" spans="1:45">
      <c r="A140" s="57">
        <v>11</v>
      </c>
      <c r="B140" s="57">
        <v>2026</v>
      </c>
      <c r="C140" s="62">
        <f>SUM('4. Metinis CAPEX'!F$9:F$19)</f>
        <v>0</v>
      </c>
      <c r="D140" s="62" cm="1">
        <f t="array" ref="D140">SUMPRODUCT('4. Metinis CAPEX'!F$9:F$19,IFERROR('2. Investicijos'!$N$5:$N$15/'2. Investicijos'!$H$5:$H$15,0))</f>
        <v>0</v>
      </c>
      <c r="E140" s="62" cm="1">
        <f t="array" ref="E140">SUMPRODUCT('4. Metinis CAPEX'!F$9:F$19,IFERROR(('2. Investicijos'!$I$5:$I$15+'2. Investicijos'!$J$5:$J$15+'2. Investicijos'!$K$5:$K$15+'2. Investicijos'!$L$5:$L$15)/'2. Investicijos'!$H$5:$H$15,0))</f>
        <v>0</v>
      </c>
      <c r="F140" s="62" cm="1">
        <f t="array" ref="F140">SUM('2. Investicijos'!$H$5:$H$15*'7. Pasirinktinis scenarijus'!$C$6)</f>
        <v>0</v>
      </c>
      <c r="G140" s="62" cm="1">
        <f t="array" ref="G140">IF(AND(2026&gt;=2026,2026&lt;2026+'7. Pasirinktinis scenarijus'!$C$5),SUM('2. Investicijos'!$H$5:$H$15*'7. Pasirinktinis scenarijus'!$C$6)/'7. Pasirinktinis scenarijus'!$C$5,0)</f>
        <v>0</v>
      </c>
      <c r="H140" s="62">
        <f t="shared" si="61"/>
        <v>0</v>
      </c>
      <c r="I140" s="62">
        <f>SUM(F$5:F$15)</f>
        <v>0</v>
      </c>
      <c r="J140" s="62">
        <f>0</f>
        <v>0</v>
      </c>
      <c r="K140" s="62">
        <f>SUM(Z$5:Z$15)</f>
        <v>0</v>
      </c>
      <c r="L140" s="62">
        <f>SUM(P$5:P$15)</f>
        <v>0</v>
      </c>
      <c r="M140" s="62">
        <f>SUM(AJ$5:AJ$15)</f>
        <v>0</v>
      </c>
      <c r="N140" s="62">
        <f>'3. Finansinės prielaidos'!C30+M140</f>
        <v>0</v>
      </c>
      <c r="O140" s="62">
        <f>'3. Finansinės prielaidos'!C31</f>
        <v>0</v>
      </c>
      <c r="P140" s="62">
        <f>'3. Finansinės prielaidos'!C32</f>
        <v>0</v>
      </c>
      <c r="Q140" s="62" t="e">
        <f t="shared" si="62"/>
        <v>#VALUE!</v>
      </c>
      <c r="R140" s="62" t="e">
        <f>O140+Q140</f>
        <v>#VALUE!</v>
      </c>
      <c r="S140" s="62" t="e" cm="1">
        <f t="array" ref="S140">SUMPRODUCT(--(2026&gt;'2. Investicijos'!$F$5:$F$15),--(2026&lt;='2. Investicijos'!$F$5:$F$15+'2. Investicijos'!$G$5:$G$15),IFERROR(('2. Investicijos'!$M$5:$M$15+IF('2. Investicijos'!$N$5:$N$15&gt;('2. Investicijos'!$H$5:$H$15*'7. Pasirinktinis scenarijus'!$C$6),'2. Investicijos'!$N$5:$N$15-('2. Investicijos'!$H$5:$H$15*'7. Pasirinktinis scenarijus'!$C$6),0)+('2. Investicijos'!$H$5:$H$15*'7. Pasirinktinis scenarijus'!$C$6))/'2. Investicijos'!$G$5:$G$15,0))+SUMPRODUCT(--(2026&gt;'2. Investicijos'!$F$5:$F$15),--(2026&lt;='2. Investicijos'!$F$5:$F$15+'2. Investicijos'!$G$5:$G$15),IFERROR(('2. Investicijos'!$M$5:$M$15+IF('2. Investicijos'!$N$5:$N$15&gt;('2. Investicijos'!$H$5:$H$15*'7. Pasirinktinis scenarijus'!$C$6),'2. Investicijos'!$N$5:$N$15-('2. Investicijos'!$H$5:$H$15*'7. Pasirinktinis scenarijus'!$C$6),0))*(1-((2026-'2. Investicijos'!$F$5:$F$15)-1)/'2. Investicijos'!$G$5:$G$15),0)*'5. 0% scenarijus'!$C$5)</f>
        <v>#VALUE!</v>
      </c>
      <c r="T140" s="62" t="e">
        <f>'3. Finansinės prielaidos'!C29+S140+G140</f>
        <v>#VALUE!</v>
      </c>
      <c r="U140" s="62" t="e">
        <f t="shared" si="63"/>
        <v>#VALUE!</v>
      </c>
      <c r="V140" s="72" t="e">
        <f t="shared" si="64"/>
        <v>#VALUE!</v>
      </c>
      <c r="W140" s="72" t="e">
        <f t="shared" si="65"/>
        <v>#VALUE!</v>
      </c>
      <c r="X140" s="57" t="e">
        <f t="shared" si="66"/>
        <v>#VALUE!</v>
      </c>
      <c r="Y140" s="57" t="e">
        <f t="shared" si="67"/>
        <v>#VALUE!</v>
      </c>
      <c r="Z140" s="57"/>
      <c r="AA140" s="57"/>
      <c r="AB140" s="57"/>
      <c r="AC140" s="57"/>
      <c r="AD140" s="57"/>
      <c r="AE140" s="57"/>
      <c r="AF140" s="57"/>
      <c r="AG140" s="57"/>
      <c r="AH140" s="57"/>
      <c r="AI140" s="57"/>
      <c r="AJ140" s="57"/>
      <c r="AK140" s="57"/>
      <c r="AL140" s="57"/>
      <c r="AM140" s="57"/>
      <c r="AN140" s="57"/>
      <c r="AO140" s="57"/>
      <c r="AP140" s="57"/>
      <c r="AQ140" s="57"/>
      <c r="AR140" s="57"/>
      <c r="AS140" s="57"/>
    </row>
    <row r="141" spans="1:45">
      <c r="A141" s="57">
        <v>11</v>
      </c>
      <c r="B141" s="57">
        <v>2027</v>
      </c>
      <c r="C141" s="62">
        <f>SUM('4. Metinis CAPEX'!G$9:G$19)</f>
        <v>0</v>
      </c>
      <c r="D141" s="62" cm="1">
        <f t="array" ref="D141">SUMPRODUCT('4. Metinis CAPEX'!G$9:G$19,IFERROR('2. Investicijos'!$N$5:$N$15/'2. Investicijos'!$H$5:$H$15,0))</f>
        <v>0</v>
      </c>
      <c r="E141" s="62" cm="1">
        <f t="array" ref="E141">SUMPRODUCT('4. Metinis CAPEX'!G$9:G$19,IFERROR(('2. Investicijos'!$I$5:$I$15+'2. Investicijos'!$J$5:$J$15+'2. Investicijos'!$K$5:$K$15+'2. Investicijos'!$L$5:$L$15)/'2. Investicijos'!$H$5:$H$15,0))</f>
        <v>0</v>
      </c>
      <c r="F141" s="62" cm="1">
        <f t="array" ref="F141">SUM('2. Investicijos'!$H$5:$H$15*'7. Pasirinktinis scenarijus'!$C$6)</f>
        <v>0</v>
      </c>
      <c r="G141" s="62" cm="1">
        <f t="array" ref="G141">IF(AND(2027&gt;=2026,2027&lt;2026+'7. Pasirinktinis scenarijus'!$C$5),SUM('2. Investicijos'!$H$5:$H$15*'7. Pasirinktinis scenarijus'!$C$6)/'7. Pasirinktinis scenarijus'!$C$5,0)</f>
        <v>0</v>
      </c>
      <c r="H141" s="62">
        <f t="shared" si="61"/>
        <v>0</v>
      </c>
      <c r="I141" s="62">
        <f>SUM(G$5:G$15)</f>
        <v>0</v>
      </c>
      <c r="J141" s="62" t="e" cm="1">
        <f t="array" ref="J141">K141+L141+MAX(0,-R140)*IFERROR(SUMPRODUCT(IF('2. Investicijos'!$N$5:$N$15&gt;('2. Investicijos'!$H$5:$H$15*'7. Pasirinktinis scenarijus'!$C$6),'2. Investicijos'!$N$5:$N$15-('2. Investicijos'!$H$5:$H$15*'7. Pasirinktinis scenarijus'!$C$6),0),'2. Investicijos'!$O$5:$O$15/100)/SUM(IF('2. Investicijos'!$N$5:$N$15&gt;('2. Investicijos'!$H$5:$H$15*'7. Pasirinktinis scenarijus'!$C$6),'2. Investicijos'!$N$5:$N$15-('2. Investicijos'!$H$5:$H$15*'7. Pasirinktinis scenarijus'!$C$6),0)),0)</f>
        <v>#VALUE!</v>
      </c>
      <c r="K141" s="62">
        <f>SUM(AA$5:AA$15)</f>
        <v>0</v>
      </c>
      <c r="L141" s="62">
        <f>SUM(Q$5:Q$15)</f>
        <v>0</v>
      </c>
      <c r="M141" s="62">
        <f>SUM(AK$5:AK$15)</f>
        <v>0</v>
      </c>
      <c r="N141" s="62">
        <f>'3. Finansinės prielaidos'!D30+M141</f>
        <v>0</v>
      </c>
      <c r="O141" s="62">
        <f>'3. Finansinės prielaidos'!D31</f>
        <v>0</v>
      </c>
      <c r="P141" s="62">
        <f>'3. Finansinės prielaidos'!D32</f>
        <v>0</v>
      </c>
      <c r="Q141" s="62" t="e">
        <f t="shared" si="62"/>
        <v>#VALUE!</v>
      </c>
      <c r="R141" s="62" t="e">
        <f>R140+('3. Finansinės prielaidos'!D31-'3. Finansinės prielaidos'!C31)+Q141</f>
        <v>#VALUE!</v>
      </c>
      <c r="S141" s="62" t="e" cm="1">
        <f t="array" ref="S141">SUMPRODUCT(--(2027&gt;'2. Investicijos'!$F$5:$F$15),--(2027&lt;='2. Investicijos'!$F$5:$F$15+'2. Investicijos'!$G$5:$G$15),IFERROR(('2. Investicijos'!$M$5:$M$15+IF('2. Investicijos'!$N$5:$N$15&gt;('2. Investicijos'!$H$5:$H$15*'7. Pasirinktinis scenarijus'!$C$6),'2. Investicijos'!$N$5:$N$15-('2. Investicijos'!$H$5:$H$15*'7. Pasirinktinis scenarijus'!$C$6),0)+('2. Investicijos'!$H$5:$H$15*'7. Pasirinktinis scenarijus'!$C$6))/'2. Investicijos'!$G$5:$G$15,0))+SUMPRODUCT(--(2027&gt;'2. Investicijos'!$F$5:$F$15),--(2027&lt;='2. Investicijos'!$F$5:$F$15+'2. Investicijos'!$G$5:$G$15),IFERROR(('2. Investicijos'!$M$5:$M$15+IF('2. Investicijos'!$N$5:$N$15&gt;('2. Investicijos'!$H$5:$H$15*'7. Pasirinktinis scenarijus'!$C$6),'2. Investicijos'!$N$5:$N$15-('2. Investicijos'!$H$5:$H$15*'7. Pasirinktinis scenarijus'!$C$6),0))*(1-((2027-'2. Investicijos'!$F$5:$F$15)-1)/'2. Investicijos'!$G$5:$G$15),0)*'5. 0% scenarijus'!$C$5)</f>
        <v>#VALUE!</v>
      </c>
      <c r="T141" s="62" t="e">
        <f>'3. Finansinės prielaidos'!D29+S141+G141</f>
        <v>#VALUE!</v>
      </c>
      <c r="U141" s="62" t="e">
        <f t="shared" si="63"/>
        <v>#VALUE!</v>
      </c>
      <c r="V141" s="72" t="e">
        <f t="shared" si="64"/>
        <v>#VALUE!</v>
      </c>
      <c r="W141" s="72" t="e">
        <f t="shared" si="65"/>
        <v>#VALUE!</v>
      </c>
      <c r="X141" s="57" t="e">
        <f t="shared" si="66"/>
        <v>#VALUE!</v>
      </c>
      <c r="Y141" s="57" t="e">
        <f t="shared" si="67"/>
        <v>#VALUE!</v>
      </c>
      <c r="Z141" s="57"/>
      <c r="AA141" s="57"/>
      <c r="AB141" s="57"/>
      <c r="AC141" s="57"/>
      <c r="AD141" s="57"/>
      <c r="AE141" s="57"/>
      <c r="AF141" s="57"/>
      <c r="AG141" s="57"/>
      <c r="AH141" s="57"/>
      <c r="AI141" s="57"/>
      <c r="AJ141" s="57"/>
      <c r="AK141" s="57"/>
      <c r="AL141" s="57"/>
      <c r="AM141" s="57"/>
      <c r="AN141" s="57"/>
      <c r="AO141" s="57"/>
      <c r="AP141" s="57"/>
      <c r="AQ141" s="57"/>
      <c r="AR141" s="57"/>
      <c r="AS141" s="57"/>
    </row>
    <row r="142" spans="1:45">
      <c r="A142" s="57">
        <v>11</v>
      </c>
      <c r="B142" s="57">
        <v>2028</v>
      </c>
      <c r="C142" s="62">
        <f>SUM('4. Metinis CAPEX'!H$9:H$19)</f>
        <v>0</v>
      </c>
      <c r="D142" s="62" cm="1">
        <f t="array" ref="D142">SUMPRODUCT('4. Metinis CAPEX'!H$9:H$19,IFERROR('2. Investicijos'!$N$5:$N$15/'2. Investicijos'!$H$5:$H$15,0))</f>
        <v>0</v>
      </c>
      <c r="E142" s="62" cm="1">
        <f t="array" ref="E142">SUMPRODUCT('4. Metinis CAPEX'!H$9:H$19,IFERROR(('2. Investicijos'!$I$5:$I$15+'2. Investicijos'!$J$5:$J$15+'2. Investicijos'!$K$5:$K$15+'2. Investicijos'!$L$5:$L$15)/'2. Investicijos'!$H$5:$H$15,0))</f>
        <v>0</v>
      </c>
      <c r="F142" s="62" cm="1">
        <f t="array" ref="F142">SUM('2. Investicijos'!$H$5:$H$15*'7. Pasirinktinis scenarijus'!$C$6)</f>
        <v>0</v>
      </c>
      <c r="G142" s="62" cm="1">
        <f t="array" ref="G142">IF(AND(2028&gt;=2026,2028&lt;2026+'7. Pasirinktinis scenarijus'!$C$5),SUM('2. Investicijos'!$H$5:$H$15*'7. Pasirinktinis scenarijus'!$C$6)/'7. Pasirinktinis scenarijus'!$C$5,0)</f>
        <v>0</v>
      </c>
      <c r="H142" s="62">
        <f t="shared" si="61"/>
        <v>0</v>
      </c>
      <c r="I142" s="62">
        <f>SUM(H$5:H$15)</f>
        <v>0</v>
      </c>
      <c r="J142" s="62" t="e" cm="1">
        <f t="array" ref="J142">K142+L142+MAX(0,-R141)*IFERROR(SUMPRODUCT(IF('2. Investicijos'!$N$5:$N$15&gt;('2. Investicijos'!$H$5:$H$15*'7. Pasirinktinis scenarijus'!$C$6),'2. Investicijos'!$N$5:$N$15-('2. Investicijos'!$H$5:$H$15*'7. Pasirinktinis scenarijus'!$C$6),0),'2. Investicijos'!$O$5:$O$15/100)/SUM(IF('2. Investicijos'!$N$5:$N$15&gt;('2. Investicijos'!$H$5:$H$15*'7. Pasirinktinis scenarijus'!$C$6),'2. Investicijos'!$N$5:$N$15-('2. Investicijos'!$H$5:$H$15*'7. Pasirinktinis scenarijus'!$C$6),0)),0)</f>
        <v>#VALUE!</v>
      </c>
      <c r="K142" s="62">
        <f>SUM(AB$5:AB$15)</f>
        <v>0</v>
      </c>
      <c r="L142" s="62">
        <f>SUM(R$5:R$15)</f>
        <v>0</v>
      </c>
      <c r="M142" s="62">
        <f>SUM(AL$5:AL$15)</f>
        <v>0</v>
      </c>
      <c r="N142" s="62">
        <f>'3. Finansinės prielaidos'!E30+M142</f>
        <v>0</v>
      </c>
      <c r="O142" s="62">
        <f>'3. Finansinės prielaidos'!E31</f>
        <v>0</v>
      </c>
      <c r="P142" s="62">
        <f>'3. Finansinės prielaidos'!E32</f>
        <v>0</v>
      </c>
      <c r="Q142" s="62" t="e">
        <f t="shared" si="62"/>
        <v>#VALUE!</v>
      </c>
      <c r="R142" s="62" t="e">
        <f>R141+('3. Finansinės prielaidos'!E31-'3. Finansinės prielaidos'!D31)+Q142</f>
        <v>#VALUE!</v>
      </c>
      <c r="S142" s="62" t="e" cm="1">
        <f t="array" ref="S142">SUMPRODUCT(--(2028&gt;'2. Investicijos'!$F$5:$F$15),--(2028&lt;='2. Investicijos'!$F$5:$F$15+'2. Investicijos'!$G$5:$G$15),IFERROR(('2. Investicijos'!$M$5:$M$15+IF('2. Investicijos'!$N$5:$N$15&gt;('2. Investicijos'!$H$5:$H$15*'7. Pasirinktinis scenarijus'!$C$6),'2. Investicijos'!$N$5:$N$15-('2. Investicijos'!$H$5:$H$15*'7. Pasirinktinis scenarijus'!$C$6),0)+('2. Investicijos'!$H$5:$H$15*'7. Pasirinktinis scenarijus'!$C$6))/'2. Investicijos'!$G$5:$G$15,0))+SUMPRODUCT(--(2028&gt;'2. Investicijos'!$F$5:$F$15),--(2028&lt;='2. Investicijos'!$F$5:$F$15+'2. Investicijos'!$G$5:$G$15),IFERROR(('2. Investicijos'!$M$5:$M$15+IF('2. Investicijos'!$N$5:$N$15&gt;('2. Investicijos'!$H$5:$H$15*'7. Pasirinktinis scenarijus'!$C$6),'2. Investicijos'!$N$5:$N$15-('2. Investicijos'!$H$5:$H$15*'7. Pasirinktinis scenarijus'!$C$6),0))*(1-((2028-'2. Investicijos'!$F$5:$F$15)-1)/'2. Investicijos'!$G$5:$G$15),0)*'5. 0% scenarijus'!$C$5)</f>
        <v>#VALUE!</v>
      </c>
      <c r="T142" s="62" t="e">
        <f>'3. Finansinės prielaidos'!E29+S142+G142</f>
        <v>#VALUE!</v>
      </c>
      <c r="U142" s="62" t="e">
        <f t="shared" si="63"/>
        <v>#VALUE!</v>
      </c>
      <c r="V142" s="72" t="e">
        <f t="shared" si="64"/>
        <v>#VALUE!</v>
      </c>
      <c r="W142" s="72" t="e">
        <f t="shared" si="65"/>
        <v>#VALUE!</v>
      </c>
      <c r="X142" s="57" t="e">
        <f t="shared" si="66"/>
        <v>#VALUE!</v>
      </c>
      <c r="Y142" s="57" t="e">
        <f t="shared" si="67"/>
        <v>#VALUE!</v>
      </c>
      <c r="Z142" s="57"/>
      <c r="AA142" s="57"/>
      <c r="AB142" s="57"/>
      <c r="AC142" s="57"/>
      <c r="AD142" s="57"/>
      <c r="AE142" s="57"/>
      <c r="AF142" s="57"/>
      <c r="AG142" s="57"/>
      <c r="AH142" s="57"/>
      <c r="AI142" s="57"/>
      <c r="AJ142" s="57"/>
      <c r="AK142" s="57"/>
      <c r="AL142" s="57"/>
      <c r="AM142" s="57"/>
      <c r="AN142" s="57"/>
      <c r="AO142" s="57"/>
      <c r="AP142" s="57"/>
      <c r="AQ142" s="57"/>
      <c r="AR142" s="57"/>
      <c r="AS142" s="57"/>
    </row>
    <row r="143" spans="1:45">
      <c r="A143" s="57">
        <v>11</v>
      </c>
      <c r="B143" s="57">
        <v>2029</v>
      </c>
      <c r="C143" s="62">
        <f>SUM('4. Metinis CAPEX'!I$9:I$19)</f>
        <v>0</v>
      </c>
      <c r="D143" s="62" cm="1">
        <f t="array" ref="D143">SUMPRODUCT('4. Metinis CAPEX'!I$9:I$19,IFERROR('2. Investicijos'!$N$5:$N$15/'2. Investicijos'!$H$5:$H$15,0))</f>
        <v>0</v>
      </c>
      <c r="E143" s="62" cm="1">
        <f t="array" ref="E143">SUMPRODUCT('4. Metinis CAPEX'!I$9:I$19,IFERROR(('2. Investicijos'!$I$5:$I$15+'2. Investicijos'!$J$5:$J$15+'2. Investicijos'!$K$5:$K$15+'2. Investicijos'!$L$5:$L$15)/'2. Investicijos'!$H$5:$H$15,0))</f>
        <v>0</v>
      </c>
      <c r="F143" s="62" cm="1">
        <f t="array" ref="F143">SUM('2. Investicijos'!$H$5:$H$15*'7. Pasirinktinis scenarijus'!$C$6)</f>
        <v>0</v>
      </c>
      <c r="G143" s="62" cm="1">
        <f t="array" ref="G143">IF(AND(2029&gt;=2026,2029&lt;2026+'7. Pasirinktinis scenarijus'!$C$5),SUM('2. Investicijos'!$H$5:$H$15*'7. Pasirinktinis scenarijus'!$C$6)/'7. Pasirinktinis scenarijus'!$C$5,0)</f>
        <v>0</v>
      </c>
      <c r="H143" s="62">
        <f t="shared" si="61"/>
        <v>0</v>
      </c>
      <c r="I143" s="62">
        <f>SUM(I$5:I$15)</f>
        <v>0</v>
      </c>
      <c r="J143" s="62" t="e" cm="1">
        <f t="array" ref="J143">K143+L143+MAX(0,-R142)*IFERROR(SUMPRODUCT(IF('2. Investicijos'!$N$5:$N$15&gt;('2. Investicijos'!$H$5:$H$15*'7. Pasirinktinis scenarijus'!$C$6),'2. Investicijos'!$N$5:$N$15-('2. Investicijos'!$H$5:$H$15*'7. Pasirinktinis scenarijus'!$C$6),0),'2. Investicijos'!$O$5:$O$15/100)/SUM(IF('2. Investicijos'!$N$5:$N$15&gt;('2. Investicijos'!$H$5:$H$15*'7. Pasirinktinis scenarijus'!$C$6),'2. Investicijos'!$N$5:$N$15-('2. Investicijos'!$H$5:$H$15*'7. Pasirinktinis scenarijus'!$C$6),0)),0)</f>
        <v>#VALUE!</v>
      </c>
      <c r="K143" s="62">
        <f>SUM(AC$5:AC$15)</f>
        <v>0</v>
      </c>
      <c r="L143" s="62">
        <f>SUM(S$5:S$15)</f>
        <v>0</v>
      </c>
      <c r="M143" s="62">
        <f>SUM(AM$5:AM$15)</f>
        <v>0</v>
      </c>
      <c r="N143" s="62">
        <f>'3. Finansinės prielaidos'!F30+M143</f>
        <v>0</v>
      </c>
      <c r="O143" s="62">
        <f>'3. Finansinės prielaidos'!F31</f>
        <v>0</v>
      </c>
      <c r="P143" s="62">
        <f>'3. Finansinės prielaidos'!F32</f>
        <v>0</v>
      </c>
      <c r="Q143" s="62" t="e">
        <f t="shared" si="62"/>
        <v>#VALUE!</v>
      </c>
      <c r="R143" s="62" t="e">
        <f>R142+('3. Finansinės prielaidos'!F31-'3. Finansinės prielaidos'!E31)+Q143</f>
        <v>#VALUE!</v>
      </c>
      <c r="S143" s="62" t="e" cm="1">
        <f t="array" ref="S143">SUMPRODUCT(--(2029&gt;'2. Investicijos'!$F$5:$F$15),--(2029&lt;='2. Investicijos'!$F$5:$F$15+'2. Investicijos'!$G$5:$G$15),IFERROR(('2. Investicijos'!$M$5:$M$15+IF('2. Investicijos'!$N$5:$N$15&gt;('2. Investicijos'!$H$5:$H$15*'7. Pasirinktinis scenarijus'!$C$6),'2. Investicijos'!$N$5:$N$15-('2. Investicijos'!$H$5:$H$15*'7. Pasirinktinis scenarijus'!$C$6),0)+('2. Investicijos'!$H$5:$H$15*'7. Pasirinktinis scenarijus'!$C$6))/'2. Investicijos'!$G$5:$G$15,0))+SUMPRODUCT(--(2029&gt;'2. Investicijos'!$F$5:$F$15),--(2029&lt;='2. Investicijos'!$F$5:$F$15+'2. Investicijos'!$G$5:$G$15),IFERROR(('2. Investicijos'!$M$5:$M$15+IF('2. Investicijos'!$N$5:$N$15&gt;('2. Investicijos'!$H$5:$H$15*'7. Pasirinktinis scenarijus'!$C$6),'2. Investicijos'!$N$5:$N$15-('2. Investicijos'!$H$5:$H$15*'7. Pasirinktinis scenarijus'!$C$6),0))*(1-((2029-'2. Investicijos'!$F$5:$F$15)-1)/'2. Investicijos'!$G$5:$G$15),0)*'5. 0% scenarijus'!$C$5)</f>
        <v>#VALUE!</v>
      </c>
      <c r="T143" s="62" t="e">
        <f>'3. Finansinės prielaidos'!F29+S143+G143</f>
        <v>#VALUE!</v>
      </c>
      <c r="U143" s="62" t="e">
        <f t="shared" si="63"/>
        <v>#VALUE!</v>
      </c>
      <c r="V143" s="72" t="e">
        <f t="shared" si="64"/>
        <v>#VALUE!</v>
      </c>
      <c r="W143" s="72" t="e">
        <f t="shared" si="65"/>
        <v>#VALUE!</v>
      </c>
      <c r="X143" s="57" t="e">
        <f t="shared" si="66"/>
        <v>#VALUE!</v>
      </c>
      <c r="Y143" s="57" t="e">
        <f t="shared" si="67"/>
        <v>#VALUE!</v>
      </c>
      <c r="Z143" s="57"/>
      <c r="AA143" s="57"/>
      <c r="AB143" s="57"/>
      <c r="AC143" s="57"/>
      <c r="AD143" s="57"/>
      <c r="AE143" s="57"/>
      <c r="AF143" s="57"/>
      <c r="AG143" s="57"/>
      <c r="AH143" s="57"/>
      <c r="AI143" s="57"/>
      <c r="AJ143" s="57"/>
      <c r="AK143" s="57"/>
      <c r="AL143" s="57"/>
      <c r="AM143" s="57"/>
      <c r="AN143" s="57"/>
      <c r="AO143" s="57"/>
      <c r="AP143" s="57"/>
      <c r="AQ143" s="57"/>
      <c r="AR143" s="57"/>
      <c r="AS143" s="57"/>
    </row>
    <row r="144" spans="1:45">
      <c r="A144" s="57">
        <v>11</v>
      </c>
      <c r="B144" s="57">
        <v>2030</v>
      </c>
      <c r="C144" s="62">
        <f>SUM('4. Metinis CAPEX'!J$9:J$19)</f>
        <v>0</v>
      </c>
      <c r="D144" s="62" cm="1">
        <f t="array" ref="D144">SUMPRODUCT('4. Metinis CAPEX'!J$9:J$19,IFERROR('2. Investicijos'!$N$5:$N$15/'2. Investicijos'!$H$5:$H$15,0))</f>
        <v>0</v>
      </c>
      <c r="E144" s="62" cm="1">
        <f t="array" ref="E144">SUMPRODUCT('4. Metinis CAPEX'!J$9:J$19,IFERROR(('2. Investicijos'!$I$5:$I$15+'2. Investicijos'!$J$5:$J$15+'2. Investicijos'!$K$5:$K$15+'2. Investicijos'!$L$5:$L$15)/'2. Investicijos'!$H$5:$H$15,0))</f>
        <v>0</v>
      </c>
      <c r="F144" s="62" cm="1">
        <f t="array" ref="F144">SUM('2. Investicijos'!$H$5:$H$15*'7. Pasirinktinis scenarijus'!$C$6)</f>
        <v>0</v>
      </c>
      <c r="G144" s="62" cm="1">
        <f t="array" ref="G144">IF(AND(2030&gt;=2026,2030&lt;2026+'7. Pasirinktinis scenarijus'!$C$5),SUM('2. Investicijos'!$H$5:$H$15*'7. Pasirinktinis scenarijus'!$C$6)/'7. Pasirinktinis scenarijus'!$C$5,0)</f>
        <v>0</v>
      </c>
      <c r="H144" s="62">
        <f t="shared" si="61"/>
        <v>0</v>
      </c>
      <c r="I144" s="62">
        <f>SUM(J$5:J$15)</f>
        <v>0</v>
      </c>
      <c r="J144" s="62" t="e" cm="1">
        <f t="array" ref="J144">K144+L144+MAX(0,-R143)*IFERROR(SUMPRODUCT(IF('2. Investicijos'!$N$5:$N$15&gt;('2. Investicijos'!$H$5:$H$15*'7. Pasirinktinis scenarijus'!$C$6),'2. Investicijos'!$N$5:$N$15-('2. Investicijos'!$H$5:$H$15*'7. Pasirinktinis scenarijus'!$C$6),0),'2. Investicijos'!$O$5:$O$15/100)/SUM(IF('2. Investicijos'!$N$5:$N$15&gt;('2. Investicijos'!$H$5:$H$15*'7. Pasirinktinis scenarijus'!$C$6),'2. Investicijos'!$N$5:$N$15-('2. Investicijos'!$H$5:$H$15*'7. Pasirinktinis scenarijus'!$C$6),0)),0)</f>
        <v>#VALUE!</v>
      </c>
      <c r="K144" s="62">
        <f>SUM(AD$5:AD$15)</f>
        <v>0</v>
      </c>
      <c r="L144" s="62">
        <f>SUM(T$5:T$15)</f>
        <v>0</v>
      </c>
      <c r="M144" s="62">
        <f>SUM(AN$5:AN$15)</f>
        <v>0</v>
      </c>
      <c r="N144" s="62">
        <f>'3. Finansinės prielaidos'!G30+M144</f>
        <v>0</v>
      </c>
      <c r="O144" s="62">
        <f>'3. Finansinės prielaidos'!G31</f>
        <v>0</v>
      </c>
      <c r="P144" s="62">
        <f>'3. Finansinės prielaidos'!G32</f>
        <v>0</v>
      </c>
      <c r="Q144" s="62" t="e">
        <f t="shared" si="62"/>
        <v>#VALUE!</v>
      </c>
      <c r="R144" s="62" t="e">
        <f>R143+('3. Finansinės prielaidos'!G31-'3. Finansinės prielaidos'!F31)+Q144</f>
        <v>#VALUE!</v>
      </c>
      <c r="S144" s="62" t="e" cm="1">
        <f t="array" ref="S144">SUMPRODUCT(--(2030&gt;'2. Investicijos'!$F$5:$F$15),--(2030&lt;='2. Investicijos'!$F$5:$F$15+'2. Investicijos'!$G$5:$G$15),IFERROR(('2. Investicijos'!$M$5:$M$15+IF('2. Investicijos'!$N$5:$N$15&gt;('2. Investicijos'!$H$5:$H$15*'7. Pasirinktinis scenarijus'!$C$6),'2. Investicijos'!$N$5:$N$15-('2. Investicijos'!$H$5:$H$15*'7. Pasirinktinis scenarijus'!$C$6),0)+('2. Investicijos'!$H$5:$H$15*'7. Pasirinktinis scenarijus'!$C$6))/'2. Investicijos'!$G$5:$G$15,0))+SUMPRODUCT(--(2030&gt;'2. Investicijos'!$F$5:$F$15),--(2030&lt;='2. Investicijos'!$F$5:$F$15+'2. Investicijos'!$G$5:$G$15),IFERROR(('2. Investicijos'!$M$5:$M$15+IF('2. Investicijos'!$N$5:$N$15&gt;('2. Investicijos'!$H$5:$H$15*'7. Pasirinktinis scenarijus'!$C$6),'2. Investicijos'!$N$5:$N$15-('2. Investicijos'!$H$5:$H$15*'7. Pasirinktinis scenarijus'!$C$6),0))*(1-((2030-'2. Investicijos'!$F$5:$F$15)-1)/'2. Investicijos'!$G$5:$G$15),0)*'5. 0% scenarijus'!$C$5)</f>
        <v>#VALUE!</v>
      </c>
      <c r="T144" s="62" t="e">
        <f>'3. Finansinės prielaidos'!G29+S144+G144</f>
        <v>#VALUE!</v>
      </c>
      <c r="U144" s="62" t="e">
        <f t="shared" si="63"/>
        <v>#VALUE!</v>
      </c>
      <c r="V144" s="72" t="e">
        <f t="shared" si="64"/>
        <v>#VALUE!</v>
      </c>
      <c r="W144" s="72" t="e">
        <f t="shared" si="65"/>
        <v>#VALUE!</v>
      </c>
      <c r="X144" s="57" t="e">
        <f t="shared" si="66"/>
        <v>#VALUE!</v>
      </c>
      <c r="Y144" s="57" t="e">
        <f t="shared" si="67"/>
        <v>#VALUE!</v>
      </c>
      <c r="Z144" s="57"/>
      <c r="AA144" s="57"/>
      <c r="AB144" s="57"/>
      <c r="AC144" s="57"/>
      <c r="AD144" s="57"/>
      <c r="AE144" s="57"/>
      <c r="AF144" s="57"/>
      <c r="AG144" s="57"/>
      <c r="AH144" s="57"/>
      <c r="AI144" s="57"/>
      <c r="AJ144" s="57"/>
      <c r="AK144" s="57"/>
      <c r="AL144" s="57"/>
      <c r="AM144" s="57"/>
      <c r="AN144" s="57"/>
      <c r="AO144" s="57"/>
      <c r="AP144" s="57"/>
      <c r="AQ144" s="57"/>
      <c r="AR144" s="57"/>
      <c r="AS144" s="57"/>
    </row>
    <row r="145" spans="1:45">
      <c r="A145" s="57">
        <v>11</v>
      </c>
      <c r="B145" s="57">
        <v>2031</v>
      </c>
      <c r="C145" s="62">
        <f>SUM('4. Metinis CAPEX'!K$9:K$19)</f>
        <v>0</v>
      </c>
      <c r="D145" s="62" cm="1">
        <f t="array" ref="D145">SUMPRODUCT('4. Metinis CAPEX'!K$9:K$19,IFERROR('2. Investicijos'!$N$5:$N$15/'2. Investicijos'!$H$5:$H$15,0))</f>
        <v>0</v>
      </c>
      <c r="E145" s="62" cm="1">
        <f t="array" ref="E145">SUMPRODUCT('4. Metinis CAPEX'!K$9:K$19,IFERROR(('2. Investicijos'!$I$5:$I$15+'2. Investicijos'!$J$5:$J$15+'2. Investicijos'!$K$5:$K$15+'2. Investicijos'!$L$5:$L$15)/'2. Investicijos'!$H$5:$H$15,0))</f>
        <v>0</v>
      </c>
      <c r="F145" s="62" cm="1">
        <f t="array" ref="F145">SUM('2. Investicijos'!$H$5:$H$15*'7. Pasirinktinis scenarijus'!$C$6)</f>
        <v>0</v>
      </c>
      <c r="G145" s="62" cm="1">
        <f t="array" ref="G145">IF(AND(2031&gt;=2026,2031&lt;2026+'7. Pasirinktinis scenarijus'!$C$5),SUM('2. Investicijos'!$H$5:$H$15*'7. Pasirinktinis scenarijus'!$C$6)/'7. Pasirinktinis scenarijus'!$C$5,0)</f>
        <v>0</v>
      </c>
      <c r="H145" s="62">
        <f t="shared" si="61"/>
        <v>0</v>
      </c>
      <c r="I145" s="62">
        <f>SUM(K$5:K$15)</f>
        <v>0</v>
      </c>
      <c r="J145" s="62" t="e" cm="1">
        <f t="array" ref="J145">K145+L145+MAX(0,-R144)*IFERROR(SUMPRODUCT(IF('2. Investicijos'!$N$5:$N$15&gt;('2. Investicijos'!$H$5:$H$15*'7. Pasirinktinis scenarijus'!$C$6),'2. Investicijos'!$N$5:$N$15-('2. Investicijos'!$H$5:$H$15*'7. Pasirinktinis scenarijus'!$C$6),0),'2. Investicijos'!$O$5:$O$15/100)/SUM(IF('2. Investicijos'!$N$5:$N$15&gt;('2. Investicijos'!$H$5:$H$15*'7. Pasirinktinis scenarijus'!$C$6),'2. Investicijos'!$N$5:$N$15-('2. Investicijos'!$H$5:$H$15*'7. Pasirinktinis scenarijus'!$C$6),0)),0)</f>
        <v>#VALUE!</v>
      </c>
      <c r="K145" s="62">
        <f>SUM(AE$5:AE$15)</f>
        <v>0</v>
      </c>
      <c r="L145" s="62">
        <f>SUM(U$5:U$15)</f>
        <v>0</v>
      </c>
      <c r="M145" s="62">
        <f>SUM(AO$5:AO$15)</f>
        <v>0</v>
      </c>
      <c r="N145" s="62">
        <f>'3. Finansinės prielaidos'!H30+M145</f>
        <v>0</v>
      </c>
      <c r="O145" s="62">
        <f>'3. Finansinės prielaidos'!H31</f>
        <v>0</v>
      </c>
      <c r="P145" s="62">
        <f>'3. Finansinės prielaidos'!H32</f>
        <v>0</v>
      </c>
      <c r="Q145" s="62" t="e">
        <f t="shared" si="62"/>
        <v>#VALUE!</v>
      </c>
      <c r="R145" s="62" t="e">
        <f>R144+('3. Finansinės prielaidos'!H31-'3. Finansinės prielaidos'!G31)+Q145</f>
        <v>#VALUE!</v>
      </c>
      <c r="S145" s="62" t="e" cm="1">
        <f t="array" ref="S145">SUMPRODUCT(--(2031&gt;'2. Investicijos'!$F$5:$F$15),--(2031&lt;='2. Investicijos'!$F$5:$F$15+'2. Investicijos'!$G$5:$G$15),IFERROR(('2. Investicijos'!$M$5:$M$15+IF('2. Investicijos'!$N$5:$N$15&gt;('2. Investicijos'!$H$5:$H$15*'7. Pasirinktinis scenarijus'!$C$6),'2. Investicijos'!$N$5:$N$15-('2. Investicijos'!$H$5:$H$15*'7. Pasirinktinis scenarijus'!$C$6),0)+('2. Investicijos'!$H$5:$H$15*'7. Pasirinktinis scenarijus'!$C$6))/'2. Investicijos'!$G$5:$G$15,0))+SUMPRODUCT(--(2031&gt;'2. Investicijos'!$F$5:$F$15),--(2031&lt;='2. Investicijos'!$F$5:$F$15+'2. Investicijos'!$G$5:$G$15),IFERROR(('2. Investicijos'!$M$5:$M$15+IF('2. Investicijos'!$N$5:$N$15&gt;('2. Investicijos'!$H$5:$H$15*'7. Pasirinktinis scenarijus'!$C$6),'2. Investicijos'!$N$5:$N$15-('2. Investicijos'!$H$5:$H$15*'7. Pasirinktinis scenarijus'!$C$6),0))*(1-((2031-'2. Investicijos'!$F$5:$F$15)-1)/'2. Investicijos'!$G$5:$G$15),0)*'5. 0% scenarijus'!$C$5)</f>
        <v>#VALUE!</v>
      </c>
      <c r="T145" s="62" t="e">
        <f>'3. Finansinės prielaidos'!H29+S145+G145</f>
        <v>#VALUE!</v>
      </c>
      <c r="U145" s="62" t="e">
        <f t="shared" si="63"/>
        <v>#VALUE!</v>
      </c>
      <c r="V145" s="72" t="e">
        <f t="shared" si="64"/>
        <v>#VALUE!</v>
      </c>
      <c r="W145" s="72" t="e">
        <f t="shared" si="65"/>
        <v>#VALUE!</v>
      </c>
      <c r="X145" s="57" t="e">
        <f t="shared" si="66"/>
        <v>#VALUE!</v>
      </c>
      <c r="Y145" s="57" t="e">
        <f t="shared" si="67"/>
        <v>#VALUE!</v>
      </c>
      <c r="Z145" s="57"/>
      <c r="AA145" s="57"/>
      <c r="AB145" s="57"/>
      <c r="AC145" s="57"/>
      <c r="AD145" s="57"/>
      <c r="AE145" s="57"/>
      <c r="AF145" s="57"/>
      <c r="AG145" s="57"/>
      <c r="AH145" s="57"/>
      <c r="AI145" s="57"/>
      <c r="AJ145" s="57"/>
      <c r="AK145" s="57"/>
      <c r="AL145" s="57"/>
      <c r="AM145" s="57"/>
      <c r="AN145" s="57"/>
      <c r="AO145" s="57"/>
      <c r="AP145" s="57"/>
      <c r="AQ145" s="57"/>
      <c r="AR145" s="57"/>
      <c r="AS145" s="57"/>
    </row>
    <row r="146" spans="1:45">
      <c r="A146" s="57">
        <v>11</v>
      </c>
      <c r="B146" s="57">
        <v>2032</v>
      </c>
      <c r="C146" s="62">
        <f>SUM('4. Metinis CAPEX'!L$9:L$19)</f>
        <v>0</v>
      </c>
      <c r="D146" s="62" cm="1">
        <f t="array" ref="D146">SUMPRODUCT('4. Metinis CAPEX'!L$9:L$19,IFERROR('2. Investicijos'!$N$5:$N$15/'2. Investicijos'!$H$5:$H$15,0))</f>
        <v>0</v>
      </c>
      <c r="E146" s="62" cm="1">
        <f t="array" ref="E146">SUMPRODUCT('4. Metinis CAPEX'!L$9:L$19,IFERROR(('2. Investicijos'!$I$5:$I$15+'2. Investicijos'!$J$5:$J$15+'2. Investicijos'!$K$5:$K$15+'2. Investicijos'!$L$5:$L$15)/'2. Investicijos'!$H$5:$H$15,0))</f>
        <v>0</v>
      </c>
      <c r="F146" s="62" cm="1">
        <f t="array" ref="F146">SUM('2. Investicijos'!$H$5:$H$15*'7. Pasirinktinis scenarijus'!$C$6)</f>
        <v>0</v>
      </c>
      <c r="G146" s="62" cm="1">
        <f t="array" ref="G146">IF(AND(2032&gt;=2026,2032&lt;2026+'7. Pasirinktinis scenarijus'!$C$5),SUM('2. Investicijos'!$H$5:$H$15*'7. Pasirinktinis scenarijus'!$C$6)/'7. Pasirinktinis scenarijus'!$C$5,0)</f>
        <v>0</v>
      </c>
      <c r="H146" s="62">
        <f t="shared" si="61"/>
        <v>0</v>
      </c>
      <c r="I146" s="62">
        <f>SUM(L$5:L$15)</f>
        <v>0</v>
      </c>
      <c r="J146" s="62" t="e" cm="1">
        <f t="array" ref="J146">K146+L146+MAX(0,-R145)*IFERROR(SUMPRODUCT(IF('2. Investicijos'!$N$5:$N$15&gt;('2. Investicijos'!$H$5:$H$15*'7. Pasirinktinis scenarijus'!$C$6),'2. Investicijos'!$N$5:$N$15-('2. Investicijos'!$H$5:$H$15*'7. Pasirinktinis scenarijus'!$C$6),0),'2. Investicijos'!$O$5:$O$15/100)/SUM(IF('2. Investicijos'!$N$5:$N$15&gt;('2. Investicijos'!$H$5:$H$15*'7. Pasirinktinis scenarijus'!$C$6),'2. Investicijos'!$N$5:$N$15-('2. Investicijos'!$H$5:$H$15*'7. Pasirinktinis scenarijus'!$C$6),0)),0)</f>
        <v>#VALUE!</v>
      </c>
      <c r="K146" s="62">
        <f>SUM(AF$5:AF$15)</f>
        <v>0</v>
      </c>
      <c r="L146" s="62">
        <f>SUM(V$5:V$15)</f>
        <v>0</v>
      </c>
      <c r="M146" s="62">
        <f>SUM(AP$5:AP$15)</f>
        <v>0</v>
      </c>
      <c r="N146" s="62">
        <f>'3. Finansinės prielaidos'!I30+M146</f>
        <v>0</v>
      </c>
      <c r="O146" s="62">
        <f>'3. Finansinės prielaidos'!I31</f>
        <v>0</v>
      </c>
      <c r="P146" s="62">
        <f>'3. Finansinės prielaidos'!I32</f>
        <v>0</v>
      </c>
      <c r="Q146" s="62" t="e">
        <f t="shared" si="62"/>
        <v>#VALUE!</v>
      </c>
      <c r="R146" s="62" t="e">
        <f>R145+('3. Finansinės prielaidos'!I31-'3. Finansinės prielaidos'!H31)+Q146</f>
        <v>#VALUE!</v>
      </c>
      <c r="S146" s="62" t="e" cm="1">
        <f t="array" ref="S146">SUMPRODUCT(--(2032&gt;'2. Investicijos'!$F$5:$F$15),--(2032&lt;='2. Investicijos'!$F$5:$F$15+'2. Investicijos'!$G$5:$G$15),IFERROR(('2. Investicijos'!$M$5:$M$15+IF('2. Investicijos'!$N$5:$N$15&gt;('2. Investicijos'!$H$5:$H$15*'7. Pasirinktinis scenarijus'!$C$6),'2. Investicijos'!$N$5:$N$15-('2. Investicijos'!$H$5:$H$15*'7. Pasirinktinis scenarijus'!$C$6),0)+('2. Investicijos'!$H$5:$H$15*'7. Pasirinktinis scenarijus'!$C$6))/'2. Investicijos'!$G$5:$G$15,0))+SUMPRODUCT(--(2032&gt;'2. Investicijos'!$F$5:$F$15),--(2032&lt;='2. Investicijos'!$F$5:$F$15+'2. Investicijos'!$G$5:$G$15),IFERROR(('2. Investicijos'!$M$5:$M$15+IF('2. Investicijos'!$N$5:$N$15&gt;('2. Investicijos'!$H$5:$H$15*'7. Pasirinktinis scenarijus'!$C$6),'2. Investicijos'!$N$5:$N$15-('2. Investicijos'!$H$5:$H$15*'7. Pasirinktinis scenarijus'!$C$6),0))*(1-((2032-'2. Investicijos'!$F$5:$F$15)-1)/'2. Investicijos'!$G$5:$G$15),0)*'5. 0% scenarijus'!$C$5)</f>
        <v>#VALUE!</v>
      </c>
      <c r="T146" s="62" t="e">
        <f>'3. Finansinės prielaidos'!I29+S146+G146</f>
        <v>#VALUE!</v>
      </c>
      <c r="U146" s="62" t="e">
        <f t="shared" si="63"/>
        <v>#VALUE!</v>
      </c>
      <c r="V146" s="72" t="e">
        <f t="shared" si="64"/>
        <v>#VALUE!</v>
      </c>
      <c r="W146" s="72" t="e">
        <f t="shared" si="65"/>
        <v>#VALUE!</v>
      </c>
      <c r="X146" s="57" t="e">
        <f t="shared" si="66"/>
        <v>#VALUE!</v>
      </c>
      <c r="Y146" s="57" t="e">
        <f t="shared" si="67"/>
        <v>#VALUE!</v>
      </c>
      <c r="Z146" s="57"/>
      <c r="AA146" s="57"/>
      <c r="AB146" s="57"/>
      <c r="AC146" s="57"/>
      <c r="AD146" s="57"/>
      <c r="AE146" s="57"/>
      <c r="AF146" s="57"/>
      <c r="AG146" s="57"/>
      <c r="AH146" s="57"/>
      <c r="AI146" s="57"/>
      <c r="AJ146" s="57"/>
      <c r="AK146" s="57"/>
      <c r="AL146" s="57"/>
      <c r="AM146" s="57"/>
      <c r="AN146" s="57"/>
      <c r="AO146" s="57"/>
      <c r="AP146" s="57"/>
      <c r="AQ146" s="57"/>
      <c r="AR146" s="57"/>
      <c r="AS146" s="57"/>
    </row>
    <row r="147" spans="1:45">
      <c r="A147" s="57">
        <v>11</v>
      </c>
      <c r="B147" s="57">
        <v>2033</v>
      </c>
      <c r="C147" s="62">
        <f>SUM('4. Metinis CAPEX'!M$9:M$19)</f>
        <v>0</v>
      </c>
      <c r="D147" s="62" cm="1">
        <f t="array" ref="D147">SUMPRODUCT('4. Metinis CAPEX'!M$9:M$19,IFERROR('2. Investicijos'!$N$5:$N$15/'2. Investicijos'!$H$5:$H$15,0))</f>
        <v>0</v>
      </c>
      <c r="E147" s="62" cm="1">
        <f t="array" ref="E147">SUMPRODUCT('4. Metinis CAPEX'!M$9:M$19,IFERROR(('2. Investicijos'!$I$5:$I$15+'2. Investicijos'!$J$5:$J$15+'2. Investicijos'!$K$5:$K$15+'2. Investicijos'!$L$5:$L$15)/'2. Investicijos'!$H$5:$H$15,0))</f>
        <v>0</v>
      </c>
      <c r="F147" s="62" cm="1">
        <f t="array" ref="F147">SUM('2. Investicijos'!$H$5:$H$15*'7. Pasirinktinis scenarijus'!$C$6)</f>
        <v>0</v>
      </c>
      <c r="G147" s="62" cm="1">
        <f t="array" ref="G147">IF(AND(2033&gt;=2026,2033&lt;2026+'7. Pasirinktinis scenarijus'!$C$5),SUM('2. Investicijos'!$H$5:$H$15*'7. Pasirinktinis scenarijus'!$C$6)/'7. Pasirinktinis scenarijus'!$C$5,0)</f>
        <v>0</v>
      </c>
      <c r="H147" s="62">
        <f t="shared" si="61"/>
        <v>0</v>
      </c>
      <c r="I147" s="62">
        <f>SUM(M$5:M$15)</f>
        <v>0</v>
      </c>
      <c r="J147" s="62" t="e" cm="1">
        <f t="array" ref="J147">K147+L147+MAX(0,-R146)*IFERROR(SUMPRODUCT(IF('2. Investicijos'!$N$5:$N$15&gt;('2. Investicijos'!$H$5:$H$15*'7. Pasirinktinis scenarijus'!$C$6),'2. Investicijos'!$N$5:$N$15-('2. Investicijos'!$H$5:$H$15*'7. Pasirinktinis scenarijus'!$C$6),0),'2. Investicijos'!$O$5:$O$15/100)/SUM(IF('2. Investicijos'!$N$5:$N$15&gt;('2. Investicijos'!$H$5:$H$15*'7. Pasirinktinis scenarijus'!$C$6),'2. Investicijos'!$N$5:$N$15-('2. Investicijos'!$H$5:$H$15*'7. Pasirinktinis scenarijus'!$C$6),0)),0)</f>
        <v>#VALUE!</v>
      </c>
      <c r="K147" s="62">
        <f>SUM(AG$5:AG$15)</f>
        <v>0</v>
      </c>
      <c r="L147" s="62">
        <f>SUM(W$5:W$15)</f>
        <v>0</v>
      </c>
      <c r="M147" s="62">
        <f>SUM(AQ$5:AQ$15)</f>
        <v>0</v>
      </c>
      <c r="N147" s="62">
        <f>'3. Finansinės prielaidos'!J30+M147</f>
        <v>0</v>
      </c>
      <c r="O147" s="62">
        <f>'3. Finansinės prielaidos'!J31</f>
        <v>0</v>
      </c>
      <c r="P147" s="62">
        <f>'3. Finansinės prielaidos'!J32</f>
        <v>0</v>
      </c>
      <c r="Q147" s="62" t="e">
        <f t="shared" si="62"/>
        <v>#VALUE!</v>
      </c>
      <c r="R147" s="62" t="e">
        <f>R146+('3. Finansinės prielaidos'!J31-'3. Finansinės prielaidos'!I31)+Q147</f>
        <v>#VALUE!</v>
      </c>
      <c r="S147" s="62" t="e" cm="1">
        <f t="array" ref="S147">SUMPRODUCT(--(2033&gt;'2. Investicijos'!$F$5:$F$15),--(2033&lt;='2. Investicijos'!$F$5:$F$15+'2. Investicijos'!$G$5:$G$15),IFERROR(('2. Investicijos'!$M$5:$M$15+IF('2. Investicijos'!$N$5:$N$15&gt;('2. Investicijos'!$H$5:$H$15*'7. Pasirinktinis scenarijus'!$C$6),'2. Investicijos'!$N$5:$N$15-('2. Investicijos'!$H$5:$H$15*'7. Pasirinktinis scenarijus'!$C$6),0)+('2. Investicijos'!$H$5:$H$15*'7. Pasirinktinis scenarijus'!$C$6))/'2. Investicijos'!$G$5:$G$15,0))+SUMPRODUCT(--(2033&gt;'2. Investicijos'!$F$5:$F$15),--(2033&lt;='2. Investicijos'!$F$5:$F$15+'2. Investicijos'!$G$5:$G$15),IFERROR(('2. Investicijos'!$M$5:$M$15+IF('2. Investicijos'!$N$5:$N$15&gt;('2. Investicijos'!$H$5:$H$15*'7. Pasirinktinis scenarijus'!$C$6),'2. Investicijos'!$N$5:$N$15-('2. Investicijos'!$H$5:$H$15*'7. Pasirinktinis scenarijus'!$C$6),0))*(1-((2033-'2. Investicijos'!$F$5:$F$15)-1)/'2. Investicijos'!$G$5:$G$15),0)*'5. 0% scenarijus'!$C$5)</f>
        <v>#VALUE!</v>
      </c>
      <c r="T147" s="62" t="e">
        <f>'3. Finansinės prielaidos'!J29+S147+G147</f>
        <v>#VALUE!</v>
      </c>
      <c r="U147" s="62" t="e">
        <f t="shared" si="63"/>
        <v>#VALUE!</v>
      </c>
      <c r="V147" s="72" t="e">
        <f t="shared" si="64"/>
        <v>#VALUE!</v>
      </c>
      <c r="W147" s="72" t="e">
        <f t="shared" si="65"/>
        <v>#VALUE!</v>
      </c>
      <c r="X147" s="57" t="e">
        <f t="shared" si="66"/>
        <v>#VALUE!</v>
      </c>
      <c r="Y147" s="57" t="e">
        <f t="shared" si="67"/>
        <v>#VALUE!</v>
      </c>
      <c r="Z147" s="57"/>
      <c r="AA147" s="57"/>
      <c r="AB147" s="57"/>
      <c r="AC147" s="57"/>
      <c r="AD147" s="57"/>
      <c r="AE147" s="57"/>
      <c r="AF147" s="57"/>
      <c r="AG147" s="57"/>
      <c r="AH147" s="57"/>
      <c r="AI147" s="57"/>
      <c r="AJ147" s="57"/>
      <c r="AK147" s="57"/>
      <c r="AL147" s="57"/>
      <c r="AM147" s="57"/>
      <c r="AN147" s="57"/>
      <c r="AO147" s="57"/>
      <c r="AP147" s="57"/>
      <c r="AQ147" s="57"/>
      <c r="AR147" s="57"/>
      <c r="AS147" s="57"/>
    </row>
    <row r="148" spans="1:45">
      <c r="A148" s="57">
        <v>11</v>
      </c>
      <c r="B148" s="57">
        <v>2034</v>
      </c>
      <c r="C148" s="62">
        <f>SUM('4. Metinis CAPEX'!N$9:N$19)</f>
        <v>0</v>
      </c>
      <c r="D148" s="62" cm="1">
        <f t="array" ref="D148">SUMPRODUCT('4. Metinis CAPEX'!N$9:N$19,IFERROR('2. Investicijos'!$N$5:$N$15/'2. Investicijos'!$H$5:$H$15,0))</f>
        <v>0</v>
      </c>
      <c r="E148" s="62" cm="1">
        <f t="array" ref="E148">SUMPRODUCT('4. Metinis CAPEX'!N$9:N$19,IFERROR(('2. Investicijos'!$I$5:$I$15+'2. Investicijos'!$J$5:$J$15+'2. Investicijos'!$K$5:$K$15+'2. Investicijos'!$L$5:$L$15)/'2. Investicijos'!$H$5:$H$15,0))</f>
        <v>0</v>
      </c>
      <c r="F148" s="62" cm="1">
        <f t="array" ref="F148">SUM('2. Investicijos'!$H$5:$H$15*'7. Pasirinktinis scenarijus'!$C$6)</f>
        <v>0</v>
      </c>
      <c r="G148" s="62" cm="1">
        <f t="array" ref="G148">IF(AND(2034&gt;=2026,2034&lt;2026+'7. Pasirinktinis scenarijus'!$C$5),SUM('2. Investicijos'!$H$5:$H$15*'7. Pasirinktinis scenarijus'!$C$6)/'7. Pasirinktinis scenarijus'!$C$5,0)</f>
        <v>0</v>
      </c>
      <c r="H148" s="62">
        <f t="shared" si="61"/>
        <v>0</v>
      </c>
      <c r="I148" s="62">
        <f>SUM(N$5:N$15)</f>
        <v>0</v>
      </c>
      <c r="J148" s="62" t="e" cm="1">
        <f t="array" ref="J148">K148+L148+MAX(0,-R147)*IFERROR(SUMPRODUCT(IF('2. Investicijos'!$N$5:$N$15&gt;('2. Investicijos'!$H$5:$H$15*'7. Pasirinktinis scenarijus'!$C$6),'2. Investicijos'!$N$5:$N$15-('2. Investicijos'!$H$5:$H$15*'7. Pasirinktinis scenarijus'!$C$6),0),'2. Investicijos'!$O$5:$O$15/100)/SUM(IF('2. Investicijos'!$N$5:$N$15&gt;('2. Investicijos'!$H$5:$H$15*'7. Pasirinktinis scenarijus'!$C$6),'2. Investicijos'!$N$5:$N$15-('2. Investicijos'!$H$5:$H$15*'7. Pasirinktinis scenarijus'!$C$6),0)),0)</f>
        <v>#VALUE!</v>
      </c>
      <c r="K148" s="62">
        <f>SUM(AH$5:AH$15)</f>
        <v>0</v>
      </c>
      <c r="L148" s="62">
        <f>SUM(X$5:X$15)</f>
        <v>0</v>
      </c>
      <c r="M148" s="62">
        <f>SUM(AR$5:AR$15)</f>
        <v>0</v>
      </c>
      <c r="N148" s="62">
        <f>'3. Finansinės prielaidos'!K30+M148</f>
        <v>0</v>
      </c>
      <c r="O148" s="62">
        <f>'3. Finansinės prielaidos'!K31</f>
        <v>0</v>
      </c>
      <c r="P148" s="62">
        <f>'3. Finansinės prielaidos'!K32</f>
        <v>0</v>
      </c>
      <c r="Q148" s="62" t="e">
        <f t="shared" si="62"/>
        <v>#VALUE!</v>
      </c>
      <c r="R148" s="62" t="e">
        <f>R147+('3. Finansinės prielaidos'!K31-'3. Finansinės prielaidos'!J31)+Q148</f>
        <v>#VALUE!</v>
      </c>
      <c r="S148" s="62" t="e" cm="1">
        <f t="array" ref="S148">SUMPRODUCT(--(2034&gt;'2. Investicijos'!$F$5:$F$15),--(2034&lt;='2. Investicijos'!$F$5:$F$15+'2. Investicijos'!$G$5:$G$15),IFERROR(('2. Investicijos'!$M$5:$M$15+IF('2. Investicijos'!$N$5:$N$15&gt;('2. Investicijos'!$H$5:$H$15*'7. Pasirinktinis scenarijus'!$C$6),'2. Investicijos'!$N$5:$N$15-('2. Investicijos'!$H$5:$H$15*'7. Pasirinktinis scenarijus'!$C$6),0)+('2. Investicijos'!$H$5:$H$15*'7. Pasirinktinis scenarijus'!$C$6))/'2. Investicijos'!$G$5:$G$15,0))+SUMPRODUCT(--(2034&gt;'2. Investicijos'!$F$5:$F$15),--(2034&lt;='2. Investicijos'!$F$5:$F$15+'2. Investicijos'!$G$5:$G$15),IFERROR(('2. Investicijos'!$M$5:$M$15+IF('2. Investicijos'!$N$5:$N$15&gt;('2. Investicijos'!$H$5:$H$15*'7. Pasirinktinis scenarijus'!$C$6),'2. Investicijos'!$N$5:$N$15-('2. Investicijos'!$H$5:$H$15*'7. Pasirinktinis scenarijus'!$C$6),0))*(1-((2034-'2. Investicijos'!$F$5:$F$15)-1)/'2. Investicijos'!$G$5:$G$15),0)*'5. 0% scenarijus'!$C$5)</f>
        <v>#VALUE!</v>
      </c>
      <c r="T148" s="62" t="e">
        <f>'3. Finansinės prielaidos'!K29+S148+G148</f>
        <v>#VALUE!</v>
      </c>
      <c r="U148" s="62" t="e">
        <f t="shared" si="63"/>
        <v>#VALUE!</v>
      </c>
      <c r="V148" s="72" t="e">
        <f t="shared" si="64"/>
        <v>#VALUE!</v>
      </c>
      <c r="W148" s="72" t="e">
        <f t="shared" si="65"/>
        <v>#VALUE!</v>
      </c>
      <c r="X148" s="57" t="e">
        <f t="shared" si="66"/>
        <v>#VALUE!</v>
      </c>
      <c r="Y148" s="57" t="e">
        <f t="shared" si="67"/>
        <v>#VALUE!</v>
      </c>
      <c r="Z148" s="57"/>
      <c r="AA148" s="57"/>
      <c r="AB148" s="57"/>
      <c r="AC148" s="57"/>
      <c r="AD148" s="57"/>
      <c r="AE148" s="57"/>
      <c r="AF148" s="57"/>
      <c r="AG148" s="57"/>
      <c r="AH148" s="57"/>
      <c r="AI148" s="57"/>
      <c r="AJ148" s="57"/>
      <c r="AK148" s="57"/>
      <c r="AL148" s="57"/>
      <c r="AM148" s="57"/>
      <c r="AN148" s="57"/>
      <c r="AO148" s="57"/>
      <c r="AP148" s="57"/>
      <c r="AQ148" s="57"/>
      <c r="AR148" s="57"/>
      <c r="AS148" s="57"/>
    </row>
    <row r="149" spans="1:45">
      <c r="A149" s="57">
        <v>11</v>
      </c>
      <c r="B149" s="57">
        <v>2035</v>
      </c>
      <c r="C149" s="62">
        <f>SUM('4. Metinis CAPEX'!O$9:O$19)</f>
        <v>0</v>
      </c>
      <c r="D149" s="62" cm="1">
        <f t="array" ref="D149">SUMPRODUCT('4. Metinis CAPEX'!O$9:O$19,IFERROR('2. Investicijos'!$N$5:$N$15/'2. Investicijos'!$H$5:$H$15,0))</f>
        <v>0</v>
      </c>
      <c r="E149" s="62" cm="1">
        <f t="array" ref="E149">SUMPRODUCT('4. Metinis CAPEX'!O$9:O$19,IFERROR(('2. Investicijos'!$I$5:$I$15+'2. Investicijos'!$J$5:$J$15+'2. Investicijos'!$K$5:$K$15+'2. Investicijos'!$L$5:$L$15)/'2. Investicijos'!$H$5:$H$15,0))</f>
        <v>0</v>
      </c>
      <c r="F149" s="62" cm="1">
        <f t="array" ref="F149">SUM('2. Investicijos'!$H$5:$H$15*'7. Pasirinktinis scenarijus'!$C$6)</f>
        <v>0</v>
      </c>
      <c r="G149" s="62" cm="1">
        <f t="array" ref="G149">IF(AND(2035&gt;=2026,2035&lt;2026+'7. Pasirinktinis scenarijus'!$C$5),SUM('2. Investicijos'!$H$5:$H$15*'7. Pasirinktinis scenarijus'!$C$6)/'7. Pasirinktinis scenarijus'!$C$5,0)</f>
        <v>0</v>
      </c>
      <c r="H149" s="62">
        <f t="shared" si="61"/>
        <v>0</v>
      </c>
      <c r="I149" s="62">
        <f>SUM(O$5:O$15)</f>
        <v>0</v>
      </c>
      <c r="J149" s="62" t="e" cm="1">
        <f t="array" ref="J149">K149+L149+MAX(0,-R148)*IFERROR(SUMPRODUCT(IF('2. Investicijos'!$N$5:$N$15&gt;('2. Investicijos'!$H$5:$H$15*'7. Pasirinktinis scenarijus'!$C$6),'2. Investicijos'!$N$5:$N$15-('2. Investicijos'!$H$5:$H$15*'7. Pasirinktinis scenarijus'!$C$6),0),'2. Investicijos'!$O$5:$O$15/100)/SUM(IF('2. Investicijos'!$N$5:$N$15&gt;('2. Investicijos'!$H$5:$H$15*'7. Pasirinktinis scenarijus'!$C$6),'2. Investicijos'!$N$5:$N$15-('2. Investicijos'!$H$5:$H$15*'7. Pasirinktinis scenarijus'!$C$6),0)),0)</f>
        <v>#VALUE!</v>
      </c>
      <c r="K149" s="62">
        <f>SUM(AI$5:AI$15)</f>
        <v>0</v>
      </c>
      <c r="L149" s="62">
        <f>SUM(Y$5:Y$15)</f>
        <v>0</v>
      </c>
      <c r="M149" s="62">
        <f>SUM(AS$5:AS$15)</f>
        <v>0</v>
      </c>
      <c r="N149" s="62">
        <f>'3. Finansinės prielaidos'!L30+M149</f>
        <v>0</v>
      </c>
      <c r="O149" s="62">
        <f>'3. Finansinės prielaidos'!L31</f>
        <v>0</v>
      </c>
      <c r="P149" s="62">
        <f>'3. Finansinės prielaidos'!L32</f>
        <v>0</v>
      </c>
      <c r="Q149" s="62" t="e">
        <f t="shared" si="62"/>
        <v>#VALUE!</v>
      </c>
      <c r="R149" s="62" t="e">
        <f>R148+('3. Finansinės prielaidos'!L31-'3. Finansinės prielaidos'!K31)+Q149</f>
        <v>#VALUE!</v>
      </c>
      <c r="S149" s="62" t="e" cm="1">
        <f t="array" ref="S149">SUMPRODUCT(--(2035&gt;'2. Investicijos'!$F$5:$F$15),--(2035&lt;='2. Investicijos'!$F$5:$F$15+'2. Investicijos'!$G$5:$G$15),IFERROR(('2. Investicijos'!$M$5:$M$15+IF('2. Investicijos'!$N$5:$N$15&gt;('2. Investicijos'!$H$5:$H$15*'7. Pasirinktinis scenarijus'!$C$6),'2. Investicijos'!$N$5:$N$15-('2. Investicijos'!$H$5:$H$15*'7. Pasirinktinis scenarijus'!$C$6),0)+('2. Investicijos'!$H$5:$H$15*'7. Pasirinktinis scenarijus'!$C$6))/'2. Investicijos'!$G$5:$G$15,0))+SUMPRODUCT(--(2035&gt;'2. Investicijos'!$F$5:$F$15),--(2035&lt;='2. Investicijos'!$F$5:$F$15+'2. Investicijos'!$G$5:$G$15),IFERROR(('2. Investicijos'!$M$5:$M$15+IF('2. Investicijos'!$N$5:$N$15&gt;('2. Investicijos'!$H$5:$H$15*'7. Pasirinktinis scenarijus'!$C$6),'2. Investicijos'!$N$5:$N$15-('2. Investicijos'!$H$5:$H$15*'7. Pasirinktinis scenarijus'!$C$6),0))*(1-((2035-'2. Investicijos'!$F$5:$F$15)-1)/'2. Investicijos'!$G$5:$G$15),0)*'5. 0% scenarijus'!$C$5)</f>
        <v>#VALUE!</v>
      </c>
      <c r="T149" s="62" t="e">
        <f>'3. Finansinės prielaidos'!L29+S149+G149</f>
        <v>#VALUE!</v>
      </c>
      <c r="U149" s="62" t="e">
        <f t="shared" si="63"/>
        <v>#VALUE!</v>
      </c>
      <c r="V149" s="72" t="e">
        <f t="shared" si="64"/>
        <v>#VALUE!</v>
      </c>
      <c r="W149" s="72" t="e">
        <f t="shared" si="65"/>
        <v>#VALUE!</v>
      </c>
      <c r="X149" s="57" t="e">
        <f t="shared" si="66"/>
        <v>#VALUE!</v>
      </c>
      <c r="Y149" s="57" t="e">
        <f t="shared" si="67"/>
        <v>#VALUE!</v>
      </c>
      <c r="Z149" s="57"/>
      <c r="AA149" s="57"/>
      <c r="AB149" s="57"/>
      <c r="AC149" s="57"/>
      <c r="AD149" s="57"/>
      <c r="AE149" s="57"/>
      <c r="AF149" s="57"/>
      <c r="AG149" s="57"/>
      <c r="AH149" s="57"/>
      <c r="AI149" s="57"/>
      <c r="AJ149" s="57"/>
      <c r="AK149" s="57"/>
      <c r="AL149" s="57"/>
      <c r="AM149" s="57"/>
      <c r="AN149" s="57"/>
      <c r="AO149" s="57"/>
      <c r="AP149" s="57"/>
      <c r="AQ149" s="57"/>
      <c r="AR149" s="57"/>
      <c r="AS149" s="57"/>
    </row>
    <row r="150" spans="1:45">
      <c r="A150" s="57">
        <v>12</v>
      </c>
      <c r="B150" s="57">
        <v>2026</v>
      </c>
      <c r="C150" s="62">
        <f>SUM('4. Metinis CAPEX'!F$9:F$20)</f>
        <v>0</v>
      </c>
      <c r="D150" s="62" cm="1">
        <f t="array" ref="D150">SUMPRODUCT('4. Metinis CAPEX'!F$9:F$20,IFERROR('2. Investicijos'!$N$5:$N$16/'2. Investicijos'!$H$5:$H$16,0))</f>
        <v>0</v>
      </c>
      <c r="E150" s="62" cm="1">
        <f t="array" ref="E150">SUMPRODUCT('4. Metinis CAPEX'!F$9:F$20,IFERROR(('2. Investicijos'!$I$5:$I$16+'2. Investicijos'!$J$5:$J$16+'2. Investicijos'!$K$5:$K$16+'2. Investicijos'!$L$5:$L$16)/'2. Investicijos'!$H$5:$H$16,0))</f>
        <v>0</v>
      </c>
      <c r="F150" s="62" cm="1">
        <f t="array" ref="F150">SUM('2. Investicijos'!$H$5:$H$16*'7. Pasirinktinis scenarijus'!$C$6)</f>
        <v>0</v>
      </c>
      <c r="G150" s="62" cm="1">
        <f t="array" ref="G150">IF(AND(2026&gt;=2026,2026&lt;2026+'7. Pasirinktinis scenarijus'!$C$5),SUM('2. Investicijos'!$H$5:$H$16*'7. Pasirinktinis scenarijus'!$C$6)/'7. Pasirinktinis scenarijus'!$C$5,0)</f>
        <v>0</v>
      </c>
      <c r="H150" s="62">
        <f t="shared" si="61"/>
        <v>0</v>
      </c>
      <c r="I150" s="62">
        <f>SUM(F$5:F$16)</f>
        <v>0</v>
      </c>
      <c r="J150" s="62">
        <f>0</f>
        <v>0</v>
      </c>
      <c r="K150" s="62">
        <f>SUM(Z$5:Z$16)</f>
        <v>0</v>
      </c>
      <c r="L150" s="62">
        <f>SUM(P$5:P$16)</f>
        <v>0</v>
      </c>
      <c r="M150" s="62">
        <f>SUM(AJ$5:AJ$16)</f>
        <v>0</v>
      </c>
      <c r="N150" s="62">
        <f>'3. Finansinės prielaidos'!C30+M150</f>
        <v>0</v>
      </c>
      <c r="O150" s="62">
        <f>'3. Finansinės prielaidos'!C31</f>
        <v>0</v>
      </c>
      <c r="P150" s="62">
        <f>'3. Finansinės prielaidos'!C32</f>
        <v>0</v>
      </c>
      <c r="Q150" s="62" t="e">
        <f t="shared" si="62"/>
        <v>#VALUE!</v>
      </c>
      <c r="R150" s="62" t="e">
        <f>O150+Q150</f>
        <v>#VALUE!</v>
      </c>
      <c r="S150" s="62" t="e" cm="1">
        <f t="array" ref="S150">SUMPRODUCT(--(2026&gt;'2. Investicijos'!$F$5:$F$16),--(2026&lt;='2. Investicijos'!$F$5:$F$16+'2. Investicijos'!$G$5:$G$16),IFERROR(('2. Investicijos'!$M$5:$M$16+IF('2. Investicijos'!$N$5:$N$16&gt;('2. Investicijos'!$H$5:$H$16*'7. Pasirinktinis scenarijus'!$C$6),'2. Investicijos'!$N$5:$N$16-('2. Investicijos'!$H$5:$H$16*'7. Pasirinktinis scenarijus'!$C$6),0)+('2. Investicijos'!$H$5:$H$16*'7. Pasirinktinis scenarijus'!$C$6))/'2. Investicijos'!$G$5:$G$16,0))+SUMPRODUCT(--(2026&gt;'2. Investicijos'!$F$5:$F$16),--(2026&lt;='2. Investicijos'!$F$5:$F$16+'2. Investicijos'!$G$5:$G$16),IFERROR(('2. Investicijos'!$M$5:$M$16+IF('2. Investicijos'!$N$5:$N$16&gt;('2. Investicijos'!$H$5:$H$16*'7. Pasirinktinis scenarijus'!$C$6),'2. Investicijos'!$N$5:$N$16-('2. Investicijos'!$H$5:$H$16*'7. Pasirinktinis scenarijus'!$C$6),0))*(1-((2026-'2. Investicijos'!$F$5:$F$16)-1)/'2. Investicijos'!$G$5:$G$16),0)*'5. 0% scenarijus'!$C$5)</f>
        <v>#VALUE!</v>
      </c>
      <c r="T150" s="62" t="e">
        <f>'3. Finansinės prielaidos'!C29+S150+G150</f>
        <v>#VALUE!</v>
      </c>
      <c r="U150" s="62" t="e">
        <f t="shared" si="63"/>
        <v>#VALUE!</v>
      </c>
      <c r="V150" s="72" t="e">
        <f t="shared" si="64"/>
        <v>#VALUE!</v>
      </c>
      <c r="W150" s="72" t="e">
        <f t="shared" si="65"/>
        <v>#VALUE!</v>
      </c>
      <c r="X150" s="57" t="e">
        <f t="shared" si="66"/>
        <v>#VALUE!</v>
      </c>
      <c r="Y150" s="57" t="e">
        <f t="shared" si="67"/>
        <v>#VALUE!</v>
      </c>
      <c r="Z150" s="57"/>
      <c r="AA150" s="57"/>
      <c r="AB150" s="57"/>
      <c r="AC150" s="57"/>
      <c r="AD150" s="57"/>
      <c r="AE150" s="57"/>
      <c r="AF150" s="57"/>
      <c r="AG150" s="57"/>
      <c r="AH150" s="57"/>
      <c r="AI150" s="57"/>
      <c r="AJ150" s="57"/>
      <c r="AK150" s="57"/>
      <c r="AL150" s="57"/>
      <c r="AM150" s="57"/>
      <c r="AN150" s="57"/>
      <c r="AO150" s="57"/>
      <c r="AP150" s="57"/>
      <c r="AQ150" s="57"/>
      <c r="AR150" s="57"/>
      <c r="AS150" s="57"/>
    </row>
    <row r="151" spans="1:45">
      <c r="A151" s="57">
        <v>12</v>
      </c>
      <c r="B151" s="57">
        <v>2027</v>
      </c>
      <c r="C151" s="62">
        <f>SUM('4. Metinis CAPEX'!G$9:G$20)</f>
        <v>0</v>
      </c>
      <c r="D151" s="62" cm="1">
        <f t="array" ref="D151">SUMPRODUCT('4. Metinis CAPEX'!G$9:G$20,IFERROR('2. Investicijos'!$N$5:$N$16/'2. Investicijos'!$H$5:$H$16,0))</f>
        <v>0</v>
      </c>
      <c r="E151" s="62" cm="1">
        <f t="array" ref="E151">SUMPRODUCT('4. Metinis CAPEX'!G$9:G$20,IFERROR(('2. Investicijos'!$I$5:$I$16+'2. Investicijos'!$J$5:$J$16+'2. Investicijos'!$K$5:$K$16+'2. Investicijos'!$L$5:$L$16)/'2. Investicijos'!$H$5:$H$16,0))</f>
        <v>0</v>
      </c>
      <c r="F151" s="62" cm="1">
        <f t="array" ref="F151">SUM('2. Investicijos'!$H$5:$H$16*'7. Pasirinktinis scenarijus'!$C$6)</f>
        <v>0</v>
      </c>
      <c r="G151" s="62" cm="1">
        <f t="array" ref="G151">IF(AND(2027&gt;=2026,2027&lt;2026+'7. Pasirinktinis scenarijus'!$C$5),SUM('2. Investicijos'!$H$5:$H$16*'7. Pasirinktinis scenarijus'!$C$6)/'7. Pasirinktinis scenarijus'!$C$5,0)</f>
        <v>0</v>
      </c>
      <c r="H151" s="62">
        <f t="shared" si="61"/>
        <v>0</v>
      </c>
      <c r="I151" s="62">
        <f>SUM(G$5:G$16)</f>
        <v>0</v>
      </c>
      <c r="J151" s="62" t="e" cm="1">
        <f t="array" ref="J151">K151+L151+MAX(0,-R150)*IFERROR(SUMPRODUCT(IF('2. Investicijos'!$N$5:$N$16&gt;('2. Investicijos'!$H$5:$H$16*'7. Pasirinktinis scenarijus'!$C$6),'2. Investicijos'!$N$5:$N$16-('2. Investicijos'!$H$5:$H$16*'7. Pasirinktinis scenarijus'!$C$6),0),'2. Investicijos'!$O$5:$O$16/100)/SUM(IF('2. Investicijos'!$N$5:$N$16&gt;('2. Investicijos'!$H$5:$H$16*'7. Pasirinktinis scenarijus'!$C$6),'2. Investicijos'!$N$5:$N$16-('2. Investicijos'!$H$5:$H$16*'7. Pasirinktinis scenarijus'!$C$6),0)),0)</f>
        <v>#VALUE!</v>
      </c>
      <c r="K151" s="62">
        <f>SUM(AA$5:AA$16)</f>
        <v>0</v>
      </c>
      <c r="L151" s="62">
        <f>SUM(Q$5:Q$16)</f>
        <v>0</v>
      </c>
      <c r="M151" s="62">
        <f>SUM(AK$5:AK$16)</f>
        <v>0</v>
      </c>
      <c r="N151" s="62">
        <f>'3. Finansinės prielaidos'!D30+M151</f>
        <v>0</v>
      </c>
      <c r="O151" s="62">
        <f>'3. Finansinės prielaidos'!D31</f>
        <v>0</v>
      </c>
      <c r="P151" s="62">
        <f>'3. Finansinės prielaidos'!D32</f>
        <v>0</v>
      </c>
      <c r="Q151" s="62" t="e">
        <f t="shared" si="62"/>
        <v>#VALUE!</v>
      </c>
      <c r="R151" s="62" t="e">
        <f>R150+('3. Finansinės prielaidos'!D31-'3. Finansinės prielaidos'!C31)+Q151</f>
        <v>#VALUE!</v>
      </c>
      <c r="S151" s="62" t="e" cm="1">
        <f t="array" ref="S151">SUMPRODUCT(--(2027&gt;'2. Investicijos'!$F$5:$F$16),--(2027&lt;='2. Investicijos'!$F$5:$F$16+'2. Investicijos'!$G$5:$G$16),IFERROR(('2. Investicijos'!$M$5:$M$16+IF('2. Investicijos'!$N$5:$N$16&gt;('2. Investicijos'!$H$5:$H$16*'7. Pasirinktinis scenarijus'!$C$6),'2. Investicijos'!$N$5:$N$16-('2. Investicijos'!$H$5:$H$16*'7. Pasirinktinis scenarijus'!$C$6),0)+('2. Investicijos'!$H$5:$H$16*'7. Pasirinktinis scenarijus'!$C$6))/'2. Investicijos'!$G$5:$G$16,0))+SUMPRODUCT(--(2027&gt;'2. Investicijos'!$F$5:$F$16),--(2027&lt;='2. Investicijos'!$F$5:$F$16+'2. Investicijos'!$G$5:$G$16),IFERROR(('2. Investicijos'!$M$5:$M$16+IF('2. Investicijos'!$N$5:$N$16&gt;('2. Investicijos'!$H$5:$H$16*'7. Pasirinktinis scenarijus'!$C$6),'2. Investicijos'!$N$5:$N$16-('2. Investicijos'!$H$5:$H$16*'7. Pasirinktinis scenarijus'!$C$6),0))*(1-((2027-'2. Investicijos'!$F$5:$F$16)-1)/'2. Investicijos'!$G$5:$G$16),0)*'5. 0% scenarijus'!$C$5)</f>
        <v>#VALUE!</v>
      </c>
      <c r="T151" s="62" t="e">
        <f>'3. Finansinės prielaidos'!D29+S151+G151</f>
        <v>#VALUE!</v>
      </c>
      <c r="U151" s="62" t="e">
        <f t="shared" si="63"/>
        <v>#VALUE!</v>
      </c>
      <c r="V151" s="72" t="e">
        <f t="shared" si="64"/>
        <v>#VALUE!</v>
      </c>
      <c r="W151" s="72" t="e">
        <f t="shared" si="65"/>
        <v>#VALUE!</v>
      </c>
      <c r="X151" s="57" t="e">
        <f t="shared" si="66"/>
        <v>#VALUE!</v>
      </c>
      <c r="Y151" s="57" t="e">
        <f t="shared" si="67"/>
        <v>#VALUE!</v>
      </c>
      <c r="Z151" s="57"/>
      <c r="AA151" s="57"/>
      <c r="AB151" s="57"/>
      <c r="AC151" s="57"/>
      <c r="AD151" s="57"/>
      <c r="AE151" s="57"/>
      <c r="AF151" s="57"/>
      <c r="AG151" s="57"/>
      <c r="AH151" s="57"/>
      <c r="AI151" s="57"/>
      <c r="AJ151" s="57"/>
      <c r="AK151" s="57"/>
      <c r="AL151" s="57"/>
      <c r="AM151" s="57"/>
      <c r="AN151" s="57"/>
      <c r="AO151" s="57"/>
      <c r="AP151" s="57"/>
      <c r="AQ151" s="57"/>
      <c r="AR151" s="57"/>
      <c r="AS151" s="57"/>
    </row>
    <row r="152" spans="1:45">
      <c r="A152" s="57">
        <v>12</v>
      </c>
      <c r="B152" s="57">
        <v>2028</v>
      </c>
      <c r="C152" s="62">
        <f>SUM('4. Metinis CAPEX'!H$9:H$20)</f>
        <v>0</v>
      </c>
      <c r="D152" s="62" cm="1">
        <f t="array" ref="D152">SUMPRODUCT('4. Metinis CAPEX'!H$9:H$20,IFERROR('2. Investicijos'!$N$5:$N$16/'2. Investicijos'!$H$5:$H$16,0))</f>
        <v>0</v>
      </c>
      <c r="E152" s="62" cm="1">
        <f t="array" ref="E152">SUMPRODUCT('4. Metinis CAPEX'!H$9:H$20,IFERROR(('2. Investicijos'!$I$5:$I$16+'2. Investicijos'!$J$5:$J$16+'2. Investicijos'!$K$5:$K$16+'2. Investicijos'!$L$5:$L$16)/'2. Investicijos'!$H$5:$H$16,0))</f>
        <v>0</v>
      </c>
      <c r="F152" s="62" cm="1">
        <f t="array" ref="F152">SUM('2. Investicijos'!$H$5:$H$16*'7. Pasirinktinis scenarijus'!$C$6)</f>
        <v>0</v>
      </c>
      <c r="G152" s="62" cm="1">
        <f t="array" ref="G152">IF(AND(2028&gt;=2026,2028&lt;2026+'7. Pasirinktinis scenarijus'!$C$5),SUM('2. Investicijos'!$H$5:$H$16*'7. Pasirinktinis scenarijus'!$C$6)/'7. Pasirinktinis scenarijus'!$C$5,0)</f>
        <v>0</v>
      </c>
      <c r="H152" s="62">
        <f t="shared" si="61"/>
        <v>0</v>
      </c>
      <c r="I152" s="62">
        <f>SUM(H$5:H$16)</f>
        <v>0</v>
      </c>
      <c r="J152" s="62" t="e" cm="1">
        <f t="array" ref="J152">K152+L152+MAX(0,-R151)*IFERROR(SUMPRODUCT(IF('2. Investicijos'!$N$5:$N$16&gt;('2. Investicijos'!$H$5:$H$16*'7. Pasirinktinis scenarijus'!$C$6),'2. Investicijos'!$N$5:$N$16-('2. Investicijos'!$H$5:$H$16*'7. Pasirinktinis scenarijus'!$C$6),0),'2. Investicijos'!$O$5:$O$16/100)/SUM(IF('2. Investicijos'!$N$5:$N$16&gt;('2. Investicijos'!$H$5:$H$16*'7. Pasirinktinis scenarijus'!$C$6),'2. Investicijos'!$N$5:$N$16-('2. Investicijos'!$H$5:$H$16*'7. Pasirinktinis scenarijus'!$C$6),0)),0)</f>
        <v>#VALUE!</v>
      </c>
      <c r="K152" s="62">
        <f>SUM(AB$5:AB$16)</f>
        <v>0</v>
      </c>
      <c r="L152" s="62">
        <f>SUM(R$5:R$16)</f>
        <v>0</v>
      </c>
      <c r="M152" s="62">
        <f>SUM(AL$5:AL$16)</f>
        <v>0</v>
      </c>
      <c r="N152" s="62">
        <f>'3. Finansinės prielaidos'!E30+M152</f>
        <v>0</v>
      </c>
      <c r="O152" s="62">
        <f>'3. Finansinės prielaidos'!E31</f>
        <v>0</v>
      </c>
      <c r="P152" s="62">
        <f>'3. Finansinės prielaidos'!E32</f>
        <v>0</v>
      </c>
      <c r="Q152" s="62" t="e">
        <f t="shared" si="62"/>
        <v>#VALUE!</v>
      </c>
      <c r="R152" s="62" t="e">
        <f>R151+('3. Finansinės prielaidos'!E31-'3. Finansinės prielaidos'!D31)+Q152</f>
        <v>#VALUE!</v>
      </c>
      <c r="S152" s="62" t="e" cm="1">
        <f t="array" ref="S152">SUMPRODUCT(--(2028&gt;'2. Investicijos'!$F$5:$F$16),--(2028&lt;='2. Investicijos'!$F$5:$F$16+'2. Investicijos'!$G$5:$G$16),IFERROR(('2. Investicijos'!$M$5:$M$16+IF('2. Investicijos'!$N$5:$N$16&gt;('2. Investicijos'!$H$5:$H$16*'7. Pasirinktinis scenarijus'!$C$6),'2. Investicijos'!$N$5:$N$16-('2. Investicijos'!$H$5:$H$16*'7. Pasirinktinis scenarijus'!$C$6),0)+('2. Investicijos'!$H$5:$H$16*'7. Pasirinktinis scenarijus'!$C$6))/'2. Investicijos'!$G$5:$G$16,0))+SUMPRODUCT(--(2028&gt;'2. Investicijos'!$F$5:$F$16),--(2028&lt;='2. Investicijos'!$F$5:$F$16+'2. Investicijos'!$G$5:$G$16),IFERROR(('2. Investicijos'!$M$5:$M$16+IF('2. Investicijos'!$N$5:$N$16&gt;('2. Investicijos'!$H$5:$H$16*'7. Pasirinktinis scenarijus'!$C$6),'2. Investicijos'!$N$5:$N$16-('2. Investicijos'!$H$5:$H$16*'7. Pasirinktinis scenarijus'!$C$6),0))*(1-((2028-'2. Investicijos'!$F$5:$F$16)-1)/'2. Investicijos'!$G$5:$G$16),0)*'5. 0% scenarijus'!$C$5)</f>
        <v>#VALUE!</v>
      </c>
      <c r="T152" s="62" t="e">
        <f>'3. Finansinės prielaidos'!E29+S152+G152</f>
        <v>#VALUE!</v>
      </c>
      <c r="U152" s="62" t="e">
        <f t="shared" si="63"/>
        <v>#VALUE!</v>
      </c>
      <c r="V152" s="72" t="e">
        <f t="shared" si="64"/>
        <v>#VALUE!</v>
      </c>
      <c r="W152" s="72" t="e">
        <f t="shared" si="65"/>
        <v>#VALUE!</v>
      </c>
      <c r="X152" s="57" t="e">
        <f t="shared" si="66"/>
        <v>#VALUE!</v>
      </c>
      <c r="Y152" s="57" t="e">
        <f t="shared" si="67"/>
        <v>#VALUE!</v>
      </c>
      <c r="Z152" s="57"/>
      <c r="AA152" s="57"/>
      <c r="AB152" s="57"/>
      <c r="AC152" s="57"/>
      <c r="AD152" s="57"/>
      <c r="AE152" s="57"/>
      <c r="AF152" s="57"/>
      <c r="AG152" s="57"/>
      <c r="AH152" s="57"/>
      <c r="AI152" s="57"/>
      <c r="AJ152" s="57"/>
      <c r="AK152" s="57"/>
      <c r="AL152" s="57"/>
      <c r="AM152" s="57"/>
      <c r="AN152" s="57"/>
      <c r="AO152" s="57"/>
      <c r="AP152" s="57"/>
      <c r="AQ152" s="57"/>
      <c r="AR152" s="57"/>
      <c r="AS152" s="57"/>
    </row>
    <row r="153" spans="1:45">
      <c r="A153" s="57">
        <v>12</v>
      </c>
      <c r="B153" s="57">
        <v>2029</v>
      </c>
      <c r="C153" s="62">
        <f>SUM('4. Metinis CAPEX'!I$9:I$20)</f>
        <v>0</v>
      </c>
      <c r="D153" s="62" cm="1">
        <f t="array" ref="D153">SUMPRODUCT('4. Metinis CAPEX'!I$9:I$20,IFERROR('2. Investicijos'!$N$5:$N$16/'2. Investicijos'!$H$5:$H$16,0))</f>
        <v>0</v>
      </c>
      <c r="E153" s="62" cm="1">
        <f t="array" ref="E153">SUMPRODUCT('4. Metinis CAPEX'!I$9:I$20,IFERROR(('2. Investicijos'!$I$5:$I$16+'2. Investicijos'!$J$5:$J$16+'2. Investicijos'!$K$5:$K$16+'2. Investicijos'!$L$5:$L$16)/'2. Investicijos'!$H$5:$H$16,0))</f>
        <v>0</v>
      </c>
      <c r="F153" s="62" cm="1">
        <f t="array" ref="F153">SUM('2. Investicijos'!$H$5:$H$16*'7. Pasirinktinis scenarijus'!$C$6)</f>
        <v>0</v>
      </c>
      <c r="G153" s="62" cm="1">
        <f t="array" ref="G153">IF(AND(2029&gt;=2026,2029&lt;2026+'7. Pasirinktinis scenarijus'!$C$5),SUM('2. Investicijos'!$H$5:$H$16*'7. Pasirinktinis scenarijus'!$C$6)/'7. Pasirinktinis scenarijus'!$C$5,0)</f>
        <v>0</v>
      </c>
      <c r="H153" s="62">
        <f t="shared" si="61"/>
        <v>0</v>
      </c>
      <c r="I153" s="62">
        <f>SUM(I$5:I$16)</f>
        <v>0</v>
      </c>
      <c r="J153" s="62" t="e" cm="1">
        <f t="array" ref="J153">K153+L153+MAX(0,-R152)*IFERROR(SUMPRODUCT(IF('2. Investicijos'!$N$5:$N$16&gt;('2. Investicijos'!$H$5:$H$16*'7. Pasirinktinis scenarijus'!$C$6),'2. Investicijos'!$N$5:$N$16-('2. Investicijos'!$H$5:$H$16*'7. Pasirinktinis scenarijus'!$C$6),0),'2. Investicijos'!$O$5:$O$16/100)/SUM(IF('2. Investicijos'!$N$5:$N$16&gt;('2. Investicijos'!$H$5:$H$16*'7. Pasirinktinis scenarijus'!$C$6),'2. Investicijos'!$N$5:$N$16-('2. Investicijos'!$H$5:$H$16*'7. Pasirinktinis scenarijus'!$C$6),0)),0)</f>
        <v>#VALUE!</v>
      </c>
      <c r="K153" s="62">
        <f>SUM(AC$5:AC$16)</f>
        <v>0</v>
      </c>
      <c r="L153" s="62">
        <f>SUM(S$5:S$16)</f>
        <v>0</v>
      </c>
      <c r="M153" s="62">
        <f>SUM(AM$5:AM$16)</f>
        <v>0</v>
      </c>
      <c r="N153" s="62">
        <f>'3. Finansinės prielaidos'!F30+M153</f>
        <v>0</v>
      </c>
      <c r="O153" s="62">
        <f>'3. Finansinės prielaidos'!F31</f>
        <v>0</v>
      </c>
      <c r="P153" s="62">
        <f>'3. Finansinės prielaidos'!F32</f>
        <v>0</v>
      </c>
      <c r="Q153" s="62" t="e">
        <f t="shared" si="62"/>
        <v>#VALUE!</v>
      </c>
      <c r="R153" s="62" t="e">
        <f>R152+('3. Finansinės prielaidos'!F31-'3. Finansinės prielaidos'!E31)+Q153</f>
        <v>#VALUE!</v>
      </c>
      <c r="S153" s="62" t="e" cm="1">
        <f t="array" ref="S153">SUMPRODUCT(--(2029&gt;'2. Investicijos'!$F$5:$F$16),--(2029&lt;='2. Investicijos'!$F$5:$F$16+'2. Investicijos'!$G$5:$G$16),IFERROR(('2. Investicijos'!$M$5:$M$16+IF('2. Investicijos'!$N$5:$N$16&gt;('2. Investicijos'!$H$5:$H$16*'7. Pasirinktinis scenarijus'!$C$6),'2. Investicijos'!$N$5:$N$16-('2. Investicijos'!$H$5:$H$16*'7. Pasirinktinis scenarijus'!$C$6),0)+('2. Investicijos'!$H$5:$H$16*'7. Pasirinktinis scenarijus'!$C$6))/'2. Investicijos'!$G$5:$G$16,0))+SUMPRODUCT(--(2029&gt;'2. Investicijos'!$F$5:$F$16),--(2029&lt;='2. Investicijos'!$F$5:$F$16+'2. Investicijos'!$G$5:$G$16),IFERROR(('2. Investicijos'!$M$5:$M$16+IF('2. Investicijos'!$N$5:$N$16&gt;('2. Investicijos'!$H$5:$H$16*'7. Pasirinktinis scenarijus'!$C$6),'2. Investicijos'!$N$5:$N$16-('2. Investicijos'!$H$5:$H$16*'7. Pasirinktinis scenarijus'!$C$6),0))*(1-((2029-'2. Investicijos'!$F$5:$F$16)-1)/'2. Investicijos'!$G$5:$G$16),0)*'5. 0% scenarijus'!$C$5)</f>
        <v>#VALUE!</v>
      </c>
      <c r="T153" s="62" t="e">
        <f>'3. Finansinės prielaidos'!F29+S153+G153</f>
        <v>#VALUE!</v>
      </c>
      <c r="U153" s="62" t="e">
        <f t="shared" si="63"/>
        <v>#VALUE!</v>
      </c>
      <c r="V153" s="72" t="e">
        <f t="shared" si="64"/>
        <v>#VALUE!</v>
      </c>
      <c r="W153" s="72" t="e">
        <f t="shared" si="65"/>
        <v>#VALUE!</v>
      </c>
      <c r="X153" s="57" t="e">
        <f t="shared" si="66"/>
        <v>#VALUE!</v>
      </c>
      <c r="Y153" s="57" t="e">
        <f t="shared" si="67"/>
        <v>#VALUE!</v>
      </c>
      <c r="Z153" s="57"/>
      <c r="AA153" s="57"/>
      <c r="AB153" s="57"/>
      <c r="AC153" s="57"/>
      <c r="AD153" s="57"/>
      <c r="AE153" s="57"/>
      <c r="AF153" s="57"/>
      <c r="AG153" s="57"/>
      <c r="AH153" s="57"/>
      <c r="AI153" s="57"/>
      <c r="AJ153" s="57"/>
      <c r="AK153" s="57"/>
      <c r="AL153" s="57"/>
      <c r="AM153" s="57"/>
      <c r="AN153" s="57"/>
      <c r="AO153" s="57"/>
      <c r="AP153" s="57"/>
      <c r="AQ153" s="57"/>
      <c r="AR153" s="57"/>
      <c r="AS153" s="57"/>
    </row>
    <row r="154" spans="1:45">
      <c r="A154" s="57">
        <v>12</v>
      </c>
      <c r="B154" s="57">
        <v>2030</v>
      </c>
      <c r="C154" s="62">
        <f>SUM('4. Metinis CAPEX'!J$9:J$20)</f>
        <v>0</v>
      </c>
      <c r="D154" s="62" cm="1">
        <f t="array" ref="D154">SUMPRODUCT('4. Metinis CAPEX'!J$9:J$20,IFERROR('2. Investicijos'!$N$5:$N$16/'2. Investicijos'!$H$5:$H$16,0))</f>
        <v>0</v>
      </c>
      <c r="E154" s="62" cm="1">
        <f t="array" ref="E154">SUMPRODUCT('4. Metinis CAPEX'!J$9:J$20,IFERROR(('2. Investicijos'!$I$5:$I$16+'2. Investicijos'!$J$5:$J$16+'2. Investicijos'!$K$5:$K$16+'2. Investicijos'!$L$5:$L$16)/'2. Investicijos'!$H$5:$H$16,0))</f>
        <v>0</v>
      </c>
      <c r="F154" s="62" cm="1">
        <f t="array" ref="F154">SUM('2. Investicijos'!$H$5:$H$16*'7. Pasirinktinis scenarijus'!$C$6)</f>
        <v>0</v>
      </c>
      <c r="G154" s="62" cm="1">
        <f t="array" ref="G154">IF(AND(2030&gt;=2026,2030&lt;2026+'7. Pasirinktinis scenarijus'!$C$5),SUM('2. Investicijos'!$H$5:$H$16*'7. Pasirinktinis scenarijus'!$C$6)/'7. Pasirinktinis scenarijus'!$C$5,0)</f>
        <v>0</v>
      </c>
      <c r="H154" s="62">
        <f t="shared" si="61"/>
        <v>0</v>
      </c>
      <c r="I154" s="62">
        <f>SUM(J$5:J$16)</f>
        <v>0</v>
      </c>
      <c r="J154" s="62" t="e" cm="1">
        <f t="array" ref="J154">K154+L154+MAX(0,-R153)*IFERROR(SUMPRODUCT(IF('2. Investicijos'!$N$5:$N$16&gt;('2. Investicijos'!$H$5:$H$16*'7. Pasirinktinis scenarijus'!$C$6),'2. Investicijos'!$N$5:$N$16-('2. Investicijos'!$H$5:$H$16*'7. Pasirinktinis scenarijus'!$C$6),0),'2. Investicijos'!$O$5:$O$16/100)/SUM(IF('2. Investicijos'!$N$5:$N$16&gt;('2. Investicijos'!$H$5:$H$16*'7. Pasirinktinis scenarijus'!$C$6),'2. Investicijos'!$N$5:$N$16-('2. Investicijos'!$H$5:$H$16*'7. Pasirinktinis scenarijus'!$C$6),0)),0)</f>
        <v>#VALUE!</v>
      </c>
      <c r="K154" s="62">
        <f>SUM(AD$5:AD$16)</f>
        <v>0</v>
      </c>
      <c r="L154" s="62">
        <f>SUM(T$5:T$16)</f>
        <v>0</v>
      </c>
      <c r="M154" s="62">
        <f>SUM(AN$5:AN$16)</f>
        <v>0</v>
      </c>
      <c r="N154" s="62">
        <f>'3. Finansinės prielaidos'!G30+M154</f>
        <v>0</v>
      </c>
      <c r="O154" s="62">
        <f>'3. Finansinės prielaidos'!G31</f>
        <v>0</v>
      </c>
      <c r="P154" s="62">
        <f>'3. Finansinės prielaidos'!G32</f>
        <v>0</v>
      </c>
      <c r="Q154" s="62" t="e">
        <f t="shared" si="62"/>
        <v>#VALUE!</v>
      </c>
      <c r="R154" s="62" t="e">
        <f>R153+('3. Finansinės prielaidos'!G31-'3. Finansinės prielaidos'!F31)+Q154</f>
        <v>#VALUE!</v>
      </c>
      <c r="S154" s="62" t="e" cm="1">
        <f t="array" ref="S154">SUMPRODUCT(--(2030&gt;'2. Investicijos'!$F$5:$F$16),--(2030&lt;='2. Investicijos'!$F$5:$F$16+'2. Investicijos'!$G$5:$G$16),IFERROR(('2. Investicijos'!$M$5:$M$16+IF('2. Investicijos'!$N$5:$N$16&gt;('2. Investicijos'!$H$5:$H$16*'7. Pasirinktinis scenarijus'!$C$6),'2. Investicijos'!$N$5:$N$16-('2. Investicijos'!$H$5:$H$16*'7. Pasirinktinis scenarijus'!$C$6),0)+('2. Investicijos'!$H$5:$H$16*'7. Pasirinktinis scenarijus'!$C$6))/'2. Investicijos'!$G$5:$G$16,0))+SUMPRODUCT(--(2030&gt;'2. Investicijos'!$F$5:$F$16),--(2030&lt;='2. Investicijos'!$F$5:$F$16+'2. Investicijos'!$G$5:$G$16),IFERROR(('2. Investicijos'!$M$5:$M$16+IF('2. Investicijos'!$N$5:$N$16&gt;('2. Investicijos'!$H$5:$H$16*'7. Pasirinktinis scenarijus'!$C$6),'2. Investicijos'!$N$5:$N$16-('2. Investicijos'!$H$5:$H$16*'7. Pasirinktinis scenarijus'!$C$6),0))*(1-((2030-'2. Investicijos'!$F$5:$F$16)-1)/'2. Investicijos'!$G$5:$G$16),0)*'5. 0% scenarijus'!$C$5)</f>
        <v>#VALUE!</v>
      </c>
      <c r="T154" s="62" t="e">
        <f>'3. Finansinės prielaidos'!G29+S154+G154</f>
        <v>#VALUE!</v>
      </c>
      <c r="U154" s="62" t="e">
        <f t="shared" si="63"/>
        <v>#VALUE!</v>
      </c>
      <c r="V154" s="72" t="e">
        <f t="shared" si="64"/>
        <v>#VALUE!</v>
      </c>
      <c r="W154" s="72" t="e">
        <f t="shared" si="65"/>
        <v>#VALUE!</v>
      </c>
      <c r="X154" s="57" t="e">
        <f t="shared" si="66"/>
        <v>#VALUE!</v>
      </c>
      <c r="Y154" s="57" t="e">
        <f t="shared" si="67"/>
        <v>#VALUE!</v>
      </c>
      <c r="Z154" s="57"/>
      <c r="AA154" s="57"/>
      <c r="AB154" s="57"/>
      <c r="AC154" s="57"/>
      <c r="AD154" s="57"/>
      <c r="AE154" s="57"/>
      <c r="AF154" s="57"/>
      <c r="AG154" s="57"/>
      <c r="AH154" s="57"/>
      <c r="AI154" s="57"/>
      <c r="AJ154" s="57"/>
      <c r="AK154" s="57"/>
      <c r="AL154" s="57"/>
      <c r="AM154" s="57"/>
      <c r="AN154" s="57"/>
      <c r="AO154" s="57"/>
      <c r="AP154" s="57"/>
      <c r="AQ154" s="57"/>
      <c r="AR154" s="57"/>
      <c r="AS154" s="57"/>
    </row>
    <row r="155" spans="1:45">
      <c r="A155" s="57">
        <v>12</v>
      </c>
      <c r="B155" s="57">
        <v>2031</v>
      </c>
      <c r="C155" s="62">
        <f>SUM('4. Metinis CAPEX'!K$9:K$20)</f>
        <v>0</v>
      </c>
      <c r="D155" s="62" cm="1">
        <f t="array" ref="D155">SUMPRODUCT('4. Metinis CAPEX'!K$9:K$20,IFERROR('2. Investicijos'!$N$5:$N$16/'2. Investicijos'!$H$5:$H$16,0))</f>
        <v>0</v>
      </c>
      <c r="E155" s="62" cm="1">
        <f t="array" ref="E155">SUMPRODUCT('4. Metinis CAPEX'!K$9:K$20,IFERROR(('2. Investicijos'!$I$5:$I$16+'2. Investicijos'!$J$5:$J$16+'2. Investicijos'!$K$5:$K$16+'2. Investicijos'!$L$5:$L$16)/'2. Investicijos'!$H$5:$H$16,0))</f>
        <v>0</v>
      </c>
      <c r="F155" s="62" cm="1">
        <f t="array" ref="F155">SUM('2. Investicijos'!$H$5:$H$16*'7. Pasirinktinis scenarijus'!$C$6)</f>
        <v>0</v>
      </c>
      <c r="G155" s="62" cm="1">
        <f t="array" ref="G155">IF(AND(2031&gt;=2026,2031&lt;2026+'7. Pasirinktinis scenarijus'!$C$5),SUM('2. Investicijos'!$H$5:$H$16*'7. Pasirinktinis scenarijus'!$C$6)/'7. Pasirinktinis scenarijus'!$C$5,0)</f>
        <v>0</v>
      </c>
      <c r="H155" s="62">
        <f t="shared" si="61"/>
        <v>0</v>
      </c>
      <c r="I155" s="62">
        <f>SUM(K$5:K$16)</f>
        <v>0</v>
      </c>
      <c r="J155" s="62" t="e" cm="1">
        <f t="array" ref="J155">K155+L155+MAX(0,-R154)*IFERROR(SUMPRODUCT(IF('2. Investicijos'!$N$5:$N$16&gt;('2. Investicijos'!$H$5:$H$16*'7. Pasirinktinis scenarijus'!$C$6),'2. Investicijos'!$N$5:$N$16-('2. Investicijos'!$H$5:$H$16*'7. Pasirinktinis scenarijus'!$C$6),0),'2. Investicijos'!$O$5:$O$16/100)/SUM(IF('2. Investicijos'!$N$5:$N$16&gt;('2. Investicijos'!$H$5:$H$16*'7. Pasirinktinis scenarijus'!$C$6),'2. Investicijos'!$N$5:$N$16-('2. Investicijos'!$H$5:$H$16*'7. Pasirinktinis scenarijus'!$C$6),0)),0)</f>
        <v>#VALUE!</v>
      </c>
      <c r="K155" s="62">
        <f>SUM(AE$5:AE$16)</f>
        <v>0</v>
      </c>
      <c r="L155" s="62">
        <f>SUM(U$5:U$16)</f>
        <v>0</v>
      </c>
      <c r="M155" s="62">
        <f>SUM(AO$5:AO$16)</f>
        <v>0</v>
      </c>
      <c r="N155" s="62">
        <f>'3. Finansinės prielaidos'!H30+M155</f>
        <v>0</v>
      </c>
      <c r="O155" s="62">
        <f>'3. Finansinės prielaidos'!H31</f>
        <v>0</v>
      </c>
      <c r="P155" s="62">
        <f>'3. Finansinės prielaidos'!H32</f>
        <v>0</v>
      </c>
      <c r="Q155" s="62" t="e">
        <f t="shared" si="62"/>
        <v>#VALUE!</v>
      </c>
      <c r="R155" s="62" t="e">
        <f>R154+('3. Finansinės prielaidos'!H31-'3. Finansinės prielaidos'!G31)+Q155</f>
        <v>#VALUE!</v>
      </c>
      <c r="S155" s="62" t="e" cm="1">
        <f t="array" ref="S155">SUMPRODUCT(--(2031&gt;'2. Investicijos'!$F$5:$F$16),--(2031&lt;='2. Investicijos'!$F$5:$F$16+'2. Investicijos'!$G$5:$G$16),IFERROR(('2. Investicijos'!$M$5:$M$16+IF('2. Investicijos'!$N$5:$N$16&gt;('2. Investicijos'!$H$5:$H$16*'7. Pasirinktinis scenarijus'!$C$6),'2. Investicijos'!$N$5:$N$16-('2. Investicijos'!$H$5:$H$16*'7. Pasirinktinis scenarijus'!$C$6),0)+('2. Investicijos'!$H$5:$H$16*'7. Pasirinktinis scenarijus'!$C$6))/'2. Investicijos'!$G$5:$G$16,0))+SUMPRODUCT(--(2031&gt;'2. Investicijos'!$F$5:$F$16),--(2031&lt;='2. Investicijos'!$F$5:$F$16+'2. Investicijos'!$G$5:$G$16),IFERROR(('2. Investicijos'!$M$5:$M$16+IF('2. Investicijos'!$N$5:$N$16&gt;('2. Investicijos'!$H$5:$H$16*'7. Pasirinktinis scenarijus'!$C$6),'2. Investicijos'!$N$5:$N$16-('2. Investicijos'!$H$5:$H$16*'7. Pasirinktinis scenarijus'!$C$6),0))*(1-((2031-'2. Investicijos'!$F$5:$F$16)-1)/'2. Investicijos'!$G$5:$G$16),0)*'5. 0% scenarijus'!$C$5)</f>
        <v>#VALUE!</v>
      </c>
      <c r="T155" s="62" t="e">
        <f>'3. Finansinės prielaidos'!H29+S155+G155</f>
        <v>#VALUE!</v>
      </c>
      <c r="U155" s="62" t="e">
        <f t="shared" si="63"/>
        <v>#VALUE!</v>
      </c>
      <c r="V155" s="72" t="e">
        <f t="shared" si="64"/>
        <v>#VALUE!</v>
      </c>
      <c r="W155" s="72" t="e">
        <f t="shared" si="65"/>
        <v>#VALUE!</v>
      </c>
      <c r="X155" s="57" t="e">
        <f t="shared" si="66"/>
        <v>#VALUE!</v>
      </c>
      <c r="Y155" s="57" t="e">
        <f t="shared" si="67"/>
        <v>#VALUE!</v>
      </c>
      <c r="Z155" s="57"/>
      <c r="AA155" s="57"/>
      <c r="AB155" s="57"/>
      <c r="AC155" s="57"/>
      <c r="AD155" s="57"/>
      <c r="AE155" s="57"/>
      <c r="AF155" s="57"/>
      <c r="AG155" s="57"/>
      <c r="AH155" s="57"/>
      <c r="AI155" s="57"/>
      <c r="AJ155" s="57"/>
      <c r="AK155" s="57"/>
      <c r="AL155" s="57"/>
      <c r="AM155" s="57"/>
      <c r="AN155" s="57"/>
      <c r="AO155" s="57"/>
      <c r="AP155" s="57"/>
      <c r="AQ155" s="57"/>
      <c r="AR155" s="57"/>
      <c r="AS155" s="57"/>
    </row>
    <row r="156" spans="1:45">
      <c r="A156" s="57">
        <v>12</v>
      </c>
      <c r="B156" s="57">
        <v>2032</v>
      </c>
      <c r="C156" s="62">
        <f>SUM('4. Metinis CAPEX'!L$9:L$20)</f>
        <v>0</v>
      </c>
      <c r="D156" s="62" cm="1">
        <f t="array" ref="D156">SUMPRODUCT('4. Metinis CAPEX'!L$9:L$20,IFERROR('2. Investicijos'!$N$5:$N$16/'2. Investicijos'!$H$5:$H$16,0))</f>
        <v>0</v>
      </c>
      <c r="E156" s="62" cm="1">
        <f t="array" ref="E156">SUMPRODUCT('4. Metinis CAPEX'!L$9:L$20,IFERROR(('2. Investicijos'!$I$5:$I$16+'2. Investicijos'!$J$5:$J$16+'2. Investicijos'!$K$5:$K$16+'2. Investicijos'!$L$5:$L$16)/'2. Investicijos'!$H$5:$H$16,0))</f>
        <v>0</v>
      </c>
      <c r="F156" s="62" cm="1">
        <f t="array" ref="F156">SUM('2. Investicijos'!$H$5:$H$16*'7. Pasirinktinis scenarijus'!$C$6)</f>
        <v>0</v>
      </c>
      <c r="G156" s="62" cm="1">
        <f t="array" ref="G156">IF(AND(2032&gt;=2026,2032&lt;2026+'7. Pasirinktinis scenarijus'!$C$5),SUM('2. Investicijos'!$H$5:$H$16*'7. Pasirinktinis scenarijus'!$C$6)/'7. Pasirinktinis scenarijus'!$C$5,0)</f>
        <v>0</v>
      </c>
      <c r="H156" s="62">
        <f t="shared" si="61"/>
        <v>0</v>
      </c>
      <c r="I156" s="62">
        <f>SUM(L$5:L$16)</f>
        <v>0</v>
      </c>
      <c r="J156" s="62" t="e" cm="1">
        <f t="array" ref="J156">K156+L156+MAX(0,-R155)*IFERROR(SUMPRODUCT(IF('2. Investicijos'!$N$5:$N$16&gt;('2. Investicijos'!$H$5:$H$16*'7. Pasirinktinis scenarijus'!$C$6),'2. Investicijos'!$N$5:$N$16-('2. Investicijos'!$H$5:$H$16*'7. Pasirinktinis scenarijus'!$C$6),0),'2. Investicijos'!$O$5:$O$16/100)/SUM(IF('2. Investicijos'!$N$5:$N$16&gt;('2. Investicijos'!$H$5:$H$16*'7. Pasirinktinis scenarijus'!$C$6),'2. Investicijos'!$N$5:$N$16-('2. Investicijos'!$H$5:$H$16*'7. Pasirinktinis scenarijus'!$C$6),0)),0)</f>
        <v>#VALUE!</v>
      </c>
      <c r="K156" s="62">
        <f>SUM(AF$5:AF$16)</f>
        <v>0</v>
      </c>
      <c r="L156" s="62">
        <f>SUM(V$5:V$16)</f>
        <v>0</v>
      </c>
      <c r="M156" s="62">
        <f>SUM(AP$5:AP$16)</f>
        <v>0</v>
      </c>
      <c r="N156" s="62">
        <f>'3. Finansinės prielaidos'!I30+M156</f>
        <v>0</v>
      </c>
      <c r="O156" s="62">
        <f>'3. Finansinės prielaidos'!I31</f>
        <v>0</v>
      </c>
      <c r="P156" s="62">
        <f>'3. Finansinės prielaidos'!I32</f>
        <v>0</v>
      </c>
      <c r="Q156" s="62" t="e">
        <f t="shared" si="62"/>
        <v>#VALUE!</v>
      </c>
      <c r="R156" s="62" t="e">
        <f>R155+('3. Finansinės prielaidos'!I31-'3. Finansinės prielaidos'!H31)+Q156</f>
        <v>#VALUE!</v>
      </c>
      <c r="S156" s="62" t="e" cm="1">
        <f t="array" ref="S156">SUMPRODUCT(--(2032&gt;'2. Investicijos'!$F$5:$F$16),--(2032&lt;='2. Investicijos'!$F$5:$F$16+'2. Investicijos'!$G$5:$G$16),IFERROR(('2. Investicijos'!$M$5:$M$16+IF('2. Investicijos'!$N$5:$N$16&gt;('2. Investicijos'!$H$5:$H$16*'7. Pasirinktinis scenarijus'!$C$6),'2. Investicijos'!$N$5:$N$16-('2. Investicijos'!$H$5:$H$16*'7. Pasirinktinis scenarijus'!$C$6),0)+('2. Investicijos'!$H$5:$H$16*'7. Pasirinktinis scenarijus'!$C$6))/'2. Investicijos'!$G$5:$G$16,0))+SUMPRODUCT(--(2032&gt;'2. Investicijos'!$F$5:$F$16),--(2032&lt;='2. Investicijos'!$F$5:$F$16+'2. Investicijos'!$G$5:$G$16),IFERROR(('2. Investicijos'!$M$5:$M$16+IF('2. Investicijos'!$N$5:$N$16&gt;('2. Investicijos'!$H$5:$H$16*'7. Pasirinktinis scenarijus'!$C$6),'2. Investicijos'!$N$5:$N$16-('2. Investicijos'!$H$5:$H$16*'7. Pasirinktinis scenarijus'!$C$6),0))*(1-((2032-'2. Investicijos'!$F$5:$F$16)-1)/'2. Investicijos'!$G$5:$G$16),0)*'5. 0% scenarijus'!$C$5)</f>
        <v>#VALUE!</v>
      </c>
      <c r="T156" s="62" t="e">
        <f>'3. Finansinės prielaidos'!I29+S156+G156</f>
        <v>#VALUE!</v>
      </c>
      <c r="U156" s="62" t="e">
        <f t="shared" si="63"/>
        <v>#VALUE!</v>
      </c>
      <c r="V156" s="72" t="e">
        <f t="shared" si="64"/>
        <v>#VALUE!</v>
      </c>
      <c r="W156" s="72" t="e">
        <f t="shared" si="65"/>
        <v>#VALUE!</v>
      </c>
      <c r="X156" s="57" t="e">
        <f t="shared" si="66"/>
        <v>#VALUE!</v>
      </c>
      <c r="Y156" s="57" t="e">
        <f t="shared" si="67"/>
        <v>#VALUE!</v>
      </c>
      <c r="Z156" s="57"/>
      <c r="AA156" s="57"/>
      <c r="AB156" s="57"/>
      <c r="AC156" s="57"/>
      <c r="AD156" s="57"/>
      <c r="AE156" s="57"/>
      <c r="AF156" s="57"/>
      <c r="AG156" s="57"/>
      <c r="AH156" s="57"/>
      <c r="AI156" s="57"/>
      <c r="AJ156" s="57"/>
      <c r="AK156" s="57"/>
      <c r="AL156" s="57"/>
      <c r="AM156" s="57"/>
      <c r="AN156" s="57"/>
      <c r="AO156" s="57"/>
      <c r="AP156" s="57"/>
      <c r="AQ156" s="57"/>
      <c r="AR156" s="57"/>
      <c r="AS156" s="57"/>
    </row>
    <row r="157" spans="1:45">
      <c r="A157" s="57">
        <v>12</v>
      </c>
      <c r="B157" s="57">
        <v>2033</v>
      </c>
      <c r="C157" s="62">
        <f>SUM('4. Metinis CAPEX'!M$9:M$20)</f>
        <v>0</v>
      </c>
      <c r="D157" s="62" cm="1">
        <f t="array" ref="D157">SUMPRODUCT('4. Metinis CAPEX'!M$9:M$20,IFERROR('2. Investicijos'!$N$5:$N$16/'2. Investicijos'!$H$5:$H$16,0))</f>
        <v>0</v>
      </c>
      <c r="E157" s="62" cm="1">
        <f t="array" ref="E157">SUMPRODUCT('4. Metinis CAPEX'!M$9:M$20,IFERROR(('2. Investicijos'!$I$5:$I$16+'2. Investicijos'!$J$5:$J$16+'2. Investicijos'!$K$5:$K$16+'2. Investicijos'!$L$5:$L$16)/'2. Investicijos'!$H$5:$H$16,0))</f>
        <v>0</v>
      </c>
      <c r="F157" s="62" cm="1">
        <f t="array" ref="F157">SUM('2. Investicijos'!$H$5:$H$16*'7. Pasirinktinis scenarijus'!$C$6)</f>
        <v>0</v>
      </c>
      <c r="G157" s="62" cm="1">
        <f t="array" ref="G157">IF(AND(2033&gt;=2026,2033&lt;2026+'7. Pasirinktinis scenarijus'!$C$5),SUM('2. Investicijos'!$H$5:$H$16*'7. Pasirinktinis scenarijus'!$C$6)/'7. Pasirinktinis scenarijus'!$C$5,0)</f>
        <v>0</v>
      </c>
      <c r="H157" s="62">
        <f t="shared" si="61"/>
        <v>0</v>
      </c>
      <c r="I157" s="62">
        <f>SUM(M$5:M$16)</f>
        <v>0</v>
      </c>
      <c r="J157" s="62" t="e" cm="1">
        <f t="array" ref="J157">K157+L157+MAX(0,-R156)*IFERROR(SUMPRODUCT(IF('2. Investicijos'!$N$5:$N$16&gt;('2. Investicijos'!$H$5:$H$16*'7. Pasirinktinis scenarijus'!$C$6),'2. Investicijos'!$N$5:$N$16-('2. Investicijos'!$H$5:$H$16*'7. Pasirinktinis scenarijus'!$C$6),0),'2. Investicijos'!$O$5:$O$16/100)/SUM(IF('2. Investicijos'!$N$5:$N$16&gt;('2. Investicijos'!$H$5:$H$16*'7. Pasirinktinis scenarijus'!$C$6),'2. Investicijos'!$N$5:$N$16-('2. Investicijos'!$H$5:$H$16*'7. Pasirinktinis scenarijus'!$C$6),0)),0)</f>
        <v>#VALUE!</v>
      </c>
      <c r="K157" s="62">
        <f>SUM(AG$5:AG$16)</f>
        <v>0</v>
      </c>
      <c r="L157" s="62">
        <f>SUM(W$5:W$16)</f>
        <v>0</v>
      </c>
      <c r="M157" s="62">
        <f>SUM(AQ$5:AQ$16)</f>
        <v>0</v>
      </c>
      <c r="N157" s="62">
        <f>'3. Finansinės prielaidos'!J30+M157</f>
        <v>0</v>
      </c>
      <c r="O157" s="62">
        <f>'3. Finansinės prielaidos'!J31</f>
        <v>0</v>
      </c>
      <c r="P157" s="62">
        <f>'3. Finansinės prielaidos'!J32</f>
        <v>0</v>
      </c>
      <c r="Q157" s="62" t="e">
        <f t="shared" si="62"/>
        <v>#VALUE!</v>
      </c>
      <c r="R157" s="62" t="e">
        <f>R156+('3. Finansinės prielaidos'!J31-'3. Finansinės prielaidos'!I31)+Q157</f>
        <v>#VALUE!</v>
      </c>
      <c r="S157" s="62" t="e" cm="1">
        <f t="array" ref="S157">SUMPRODUCT(--(2033&gt;'2. Investicijos'!$F$5:$F$16),--(2033&lt;='2. Investicijos'!$F$5:$F$16+'2. Investicijos'!$G$5:$G$16),IFERROR(('2. Investicijos'!$M$5:$M$16+IF('2. Investicijos'!$N$5:$N$16&gt;('2. Investicijos'!$H$5:$H$16*'7. Pasirinktinis scenarijus'!$C$6),'2. Investicijos'!$N$5:$N$16-('2. Investicijos'!$H$5:$H$16*'7. Pasirinktinis scenarijus'!$C$6),0)+('2. Investicijos'!$H$5:$H$16*'7. Pasirinktinis scenarijus'!$C$6))/'2. Investicijos'!$G$5:$G$16,0))+SUMPRODUCT(--(2033&gt;'2. Investicijos'!$F$5:$F$16),--(2033&lt;='2. Investicijos'!$F$5:$F$16+'2. Investicijos'!$G$5:$G$16),IFERROR(('2. Investicijos'!$M$5:$M$16+IF('2. Investicijos'!$N$5:$N$16&gt;('2. Investicijos'!$H$5:$H$16*'7. Pasirinktinis scenarijus'!$C$6),'2. Investicijos'!$N$5:$N$16-('2. Investicijos'!$H$5:$H$16*'7. Pasirinktinis scenarijus'!$C$6),0))*(1-((2033-'2. Investicijos'!$F$5:$F$16)-1)/'2. Investicijos'!$G$5:$G$16),0)*'5. 0% scenarijus'!$C$5)</f>
        <v>#VALUE!</v>
      </c>
      <c r="T157" s="62" t="e">
        <f>'3. Finansinės prielaidos'!J29+S157+G157</f>
        <v>#VALUE!</v>
      </c>
      <c r="U157" s="62" t="e">
        <f t="shared" si="63"/>
        <v>#VALUE!</v>
      </c>
      <c r="V157" s="72" t="e">
        <f t="shared" si="64"/>
        <v>#VALUE!</v>
      </c>
      <c r="W157" s="72" t="e">
        <f t="shared" si="65"/>
        <v>#VALUE!</v>
      </c>
      <c r="X157" s="57" t="e">
        <f t="shared" si="66"/>
        <v>#VALUE!</v>
      </c>
      <c r="Y157" s="57" t="e">
        <f t="shared" si="67"/>
        <v>#VALUE!</v>
      </c>
      <c r="Z157" s="57"/>
      <c r="AA157" s="57"/>
      <c r="AB157" s="57"/>
      <c r="AC157" s="57"/>
      <c r="AD157" s="57"/>
      <c r="AE157" s="57"/>
      <c r="AF157" s="57"/>
      <c r="AG157" s="57"/>
      <c r="AH157" s="57"/>
      <c r="AI157" s="57"/>
      <c r="AJ157" s="57"/>
      <c r="AK157" s="57"/>
      <c r="AL157" s="57"/>
      <c r="AM157" s="57"/>
      <c r="AN157" s="57"/>
      <c r="AO157" s="57"/>
      <c r="AP157" s="57"/>
      <c r="AQ157" s="57"/>
      <c r="AR157" s="57"/>
      <c r="AS157" s="57"/>
    </row>
    <row r="158" spans="1:45">
      <c r="A158" s="57">
        <v>12</v>
      </c>
      <c r="B158" s="57">
        <v>2034</v>
      </c>
      <c r="C158" s="62">
        <f>SUM('4. Metinis CAPEX'!N$9:N$20)</f>
        <v>0</v>
      </c>
      <c r="D158" s="62" cm="1">
        <f t="array" ref="D158">SUMPRODUCT('4. Metinis CAPEX'!N$9:N$20,IFERROR('2. Investicijos'!$N$5:$N$16/'2. Investicijos'!$H$5:$H$16,0))</f>
        <v>0</v>
      </c>
      <c r="E158" s="62" cm="1">
        <f t="array" ref="E158">SUMPRODUCT('4. Metinis CAPEX'!N$9:N$20,IFERROR(('2. Investicijos'!$I$5:$I$16+'2. Investicijos'!$J$5:$J$16+'2. Investicijos'!$K$5:$K$16+'2. Investicijos'!$L$5:$L$16)/'2. Investicijos'!$H$5:$H$16,0))</f>
        <v>0</v>
      </c>
      <c r="F158" s="62" cm="1">
        <f t="array" ref="F158">SUM('2. Investicijos'!$H$5:$H$16*'7. Pasirinktinis scenarijus'!$C$6)</f>
        <v>0</v>
      </c>
      <c r="G158" s="62" cm="1">
        <f t="array" ref="G158">IF(AND(2034&gt;=2026,2034&lt;2026+'7. Pasirinktinis scenarijus'!$C$5),SUM('2. Investicijos'!$H$5:$H$16*'7. Pasirinktinis scenarijus'!$C$6)/'7. Pasirinktinis scenarijus'!$C$5,0)</f>
        <v>0</v>
      </c>
      <c r="H158" s="62">
        <f t="shared" si="61"/>
        <v>0</v>
      </c>
      <c r="I158" s="62">
        <f>SUM(N$5:N$16)</f>
        <v>0</v>
      </c>
      <c r="J158" s="62" t="e" cm="1">
        <f t="array" ref="J158">K158+L158+MAX(0,-R157)*IFERROR(SUMPRODUCT(IF('2. Investicijos'!$N$5:$N$16&gt;('2. Investicijos'!$H$5:$H$16*'7. Pasirinktinis scenarijus'!$C$6),'2. Investicijos'!$N$5:$N$16-('2. Investicijos'!$H$5:$H$16*'7. Pasirinktinis scenarijus'!$C$6),0),'2. Investicijos'!$O$5:$O$16/100)/SUM(IF('2. Investicijos'!$N$5:$N$16&gt;('2. Investicijos'!$H$5:$H$16*'7. Pasirinktinis scenarijus'!$C$6),'2. Investicijos'!$N$5:$N$16-('2. Investicijos'!$H$5:$H$16*'7. Pasirinktinis scenarijus'!$C$6),0)),0)</f>
        <v>#VALUE!</v>
      </c>
      <c r="K158" s="62">
        <f>SUM(AH$5:AH$16)</f>
        <v>0</v>
      </c>
      <c r="L158" s="62">
        <f>SUM(X$5:X$16)</f>
        <v>0</v>
      </c>
      <c r="M158" s="62">
        <f>SUM(AR$5:AR$16)</f>
        <v>0</v>
      </c>
      <c r="N158" s="62">
        <f>'3. Finansinės prielaidos'!K30+M158</f>
        <v>0</v>
      </c>
      <c r="O158" s="62">
        <f>'3. Finansinės prielaidos'!K31</f>
        <v>0</v>
      </c>
      <c r="P158" s="62">
        <f>'3. Finansinės prielaidos'!K32</f>
        <v>0</v>
      </c>
      <c r="Q158" s="62" t="e">
        <f t="shared" si="62"/>
        <v>#VALUE!</v>
      </c>
      <c r="R158" s="62" t="e">
        <f>R157+('3. Finansinės prielaidos'!K31-'3. Finansinės prielaidos'!J31)+Q158</f>
        <v>#VALUE!</v>
      </c>
      <c r="S158" s="62" t="e" cm="1">
        <f t="array" ref="S158">SUMPRODUCT(--(2034&gt;'2. Investicijos'!$F$5:$F$16),--(2034&lt;='2. Investicijos'!$F$5:$F$16+'2. Investicijos'!$G$5:$G$16),IFERROR(('2. Investicijos'!$M$5:$M$16+IF('2. Investicijos'!$N$5:$N$16&gt;('2. Investicijos'!$H$5:$H$16*'7. Pasirinktinis scenarijus'!$C$6),'2. Investicijos'!$N$5:$N$16-('2. Investicijos'!$H$5:$H$16*'7. Pasirinktinis scenarijus'!$C$6),0)+('2. Investicijos'!$H$5:$H$16*'7. Pasirinktinis scenarijus'!$C$6))/'2. Investicijos'!$G$5:$G$16,0))+SUMPRODUCT(--(2034&gt;'2. Investicijos'!$F$5:$F$16),--(2034&lt;='2. Investicijos'!$F$5:$F$16+'2. Investicijos'!$G$5:$G$16),IFERROR(('2. Investicijos'!$M$5:$M$16+IF('2. Investicijos'!$N$5:$N$16&gt;('2. Investicijos'!$H$5:$H$16*'7. Pasirinktinis scenarijus'!$C$6),'2. Investicijos'!$N$5:$N$16-('2. Investicijos'!$H$5:$H$16*'7. Pasirinktinis scenarijus'!$C$6),0))*(1-((2034-'2. Investicijos'!$F$5:$F$16)-1)/'2. Investicijos'!$G$5:$G$16),0)*'5. 0% scenarijus'!$C$5)</f>
        <v>#VALUE!</v>
      </c>
      <c r="T158" s="62" t="e">
        <f>'3. Finansinės prielaidos'!K29+S158+G158</f>
        <v>#VALUE!</v>
      </c>
      <c r="U158" s="62" t="e">
        <f t="shared" si="63"/>
        <v>#VALUE!</v>
      </c>
      <c r="V158" s="72" t="e">
        <f t="shared" si="64"/>
        <v>#VALUE!</v>
      </c>
      <c r="W158" s="72" t="e">
        <f t="shared" si="65"/>
        <v>#VALUE!</v>
      </c>
      <c r="X158" s="57" t="e">
        <f t="shared" si="66"/>
        <v>#VALUE!</v>
      </c>
      <c r="Y158" s="57" t="e">
        <f t="shared" si="67"/>
        <v>#VALUE!</v>
      </c>
      <c r="Z158" s="57"/>
      <c r="AA158" s="57"/>
      <c r="AB158" s="57"/>
      <c r="AC158" s="57"/>
      <c r="AD158" s="57"/>
      <c r="AE158" s="57"/>
      <c r="AF158" s="57"/>
      <c r="AG158" s="57"/>
      <c r="AH158" s="57"/>
      <c r="AI158" s="57"/>
      <c r="AJ158" s="57"/>
      <c r="AK158" s="57"/>
      <c r="AL158" s="57"/>
      <c r="AM158" s="57"/>
      <c r="AN158" s="57"/>
      <c r="AO158" s="57"/>
      <c r="AP158" s="57"/>
      <c r="AQ158" s="57"/>
      <c r="AR158" s="57"/>
      <c r="AS158" s="57"/>
    </row>
    <row r="159" spans="1:45">
      <c r="A159" s="57">
        <v>12</v>
      </c>
      <c r="B159" s="57">
        <v>2035</v>
      </c>
      <c r="C159" s="62">
        <f>SUM('4. Metinis CAPEX'!O$9:O$20)</f>
        <v>0</v>
      </c>
      <c r="D159" s="62" cm="1">
        <f t="array" ref="D159">SUMPRODUCT('4. Metinis CAPEX'!O$9:O$20,IFERROR('2. Investicijos'!$N$5:$N$16/'2. Investicijos'!$H$5:$H$16,0))</f>
        <v>0</v>
      </c>
      <c r="E159" s="62" cm="1">
        <f t="array" ref="E159">SUMPRODUCT('4. Metinis CAPEX'!O$9:O$20,IFERROR(('2. Investicijos'!$I$5:$I$16+'2. Investicijos'!$J$5:$J$16+'2. Investicijos'!$K$5:$K$16+'2. Investicijos'!$L$5:$L$16)/'2. Investicijos'!$H$5:$H$16,0))</f>
        <v>0</v>
      </c>
      <c r="F159" s="62" cm="1">
        <f t="array" ref="F159">SUM('2. Investicijos'!$H$5:$H$16*'7. Pasirinktinis scenarijus'!$C$6)</f>
        <v>0</v>
      </c>
      <c r="G159" s="62" cm="1">
        <f t="array" ref="G159">IF(AND(2035&gt;=2026,2035&lt;2026+'7. Pasirinktinis scenarijus'!$C$5),SUM('2. Investicijos'!$H$5:$H$16*'7. Pasirinktinis scenarijus'!$C$6)/'7. Pasirinktinis scenarijus'!$C$5,0)</f>
        <v>0</v>
      </c>
      <c r="H159" s="62">
        <f t="shared" si="61"/>
        <v>0</v>
      </c>
      <c r="I159" s="62">
        <f>SUM(O$5:O$16)</f>
        <v>0</v>
      </c>
      <c r="J159" s="62" t="e" cm="1">
        <f t="array" ref="J159">K159+L159+MAX(0,-R158)*IFERROR(SUMPRODUCT(IF('2. Investicijos'!$N$5:$N$16&gt;('2. Investicijos'!$H$5:$H$16*'7. Pasirinktinis scenarijus'!$C$6),'2. Investicijos'!$N$5:$N$16-('2. Investicijos'!$H$5:$H$16*'7. Pasirinktinis scenarijus'!$C$6),0),'2. Investicijos'!$O$5:$O$16/100)/SUM(IF('2. Investicijos'!$N$5:$N$16&gt;('2. Investicijos'!$H$5:$H$16*'7. Pasirinktinis scenarijus'!$C$6),'2. Investicijos'!$N$5:$N$16-('2. Investicijos'!$H$5:$H$16*'7. Pasirinktinis scenarijus'!$C$6),0)),0)</f>
        <v>#VALUE!</v>
      </c>
      <c r="K159" s="62">
        <f>SUM(AI$5:AI$16)</f>
        <v>0</v>
      </c>
      <c r="L159" s="62">
        <f>SUM(Y$5:Y$16)</f>
        <v>0</v>
      </c>
      <c r="M159" s="62">
        <f>SUM(AS$5:AS$16)</f>
        <v>0</v>
      </c>
      <c r="N159" s="62">
        <f>'3. Finansinės prielaidos'!L30+M159</f>
        <v>0</v>
      </c>
      <c r="O159" s="62">
        <f>'3. Finansinės prielaidos'!L31</f>
        <v>0</v>
      </c>
      <c r="P159" s="62">
        <f>'3. Finansinės prielaidos'!L32</f>
        <v>0</v>
      </c>
      <c r="Q159" s="62" t="e">
        <f t="shared" si="62"/>
        <v>#VALUE!</v>
      </c>
      <c r="R159" s="62" t="e">
        <f>R158+('3. Finansinės prielaidos'!L31-'3. Finansinės prielaidos'!K31)+Q159</f>
        <v>#VALUE!</v>
      </c>
      <c r="S159" s="62" t="e" cm="1">
        <f t="array" ref="S159">SUMPRODUCT(--(2035&gt;'2. Investicijos'!$F$5:$F$16),--(2035&lt;='2. Investicijos'!$F$5:$F$16+'2. Investicijos'!$G$5:$G$16),IFERROR(('2. Investicijos'!$M$5:$M$16+IF('2. Investicijos'!$N$5:$N$16&gt;('2. Investicijos'!$H$5:$H$16*'7. Pasirinktinis scenarijus'!$C$6),'2. Investicijos'!$N$5:$N$16-('2. Investicijos'!$H$5:$H$16*'7. Pasirinktinis scenarijus'!$C$6),0)+('2. Investicijos'!$H$5:$H$16*'7. Pasirinktinis scenarijus'!$C$6))/'2. Investicijos'!$G$5:$G$16,0))+SUMPRODUCT(--(2035&gt;'2. Investicijos'!$F$5:$F$16),--(2035&lt;='2. Investicijos'!$F$5:$F$16+'2. Investicijos'!$G$5:$G$16),IFERROR(('2. Investicijos'!$M$5:$M$16+IF('2. Investicijos'!$N$5:$N$16&gt;('2. Investicijos'!$H$5:$H$16*'7. Pasirinktinis scenarijus'!$C$6),'2. Investicijos'!$N$5:$N$16-('2. Investicijos'!$H$5:$H$16*'7. Pasirinktinis scenarijus'!$C$6),0))*(1-((2035-'2. Investicijos'!$F$5:$F$16)-1)/'2. Investicijos'!$G$5:$G$16),0)*'5. 0% scenarijus'!$C$5)</f>
        <v>#VALUE!</v>
      </c>
      <c r="T159" s="62" t="e">
        <f>'3. Finansinės prielaidos'!L29+S159+G159</f>
        <v>#VALUE!</v>
      </c>
      <c r="U159" s="62" t="e">
        <f t="shared" si="63"/>
        <v>#VALUE!</v>
      </c>
      <c r="V159" s="72" t="e">
        <f t="shared" si="64"/>
        <v>#VALUE!</v>
      </c>
      <c r="W159" s="72" t="e">
        <f t="shared" si="65"/>
        <v>#VALUE!</v>
      </c>
      <c r="X159" s="57" t="e">
        <f t="shared" si="66"/>
        <v>#VALUE!</v>
      </c>
      <c r="Y159" s="57" t="e">
        <f t="shared" si="67"/>
        <v>#VALUE!</v>
      </c>
      <c r="Z159" s="57"/>
      <c r="AA159" s="57"/>
      <c r="AB159" s="57"/>
      <c r="AC159" s="57"/>
      <c r="AD159" s="57"/>
      <c r="AE159" s="57"/>
      <c r="AF159" s="57"/>
      <c r="AG159" s="57"/>
      <c r="AH159" s="57"/>
      <c r="AI159" s="57"/>
      <c r="AJ159" s="57"/>
      <c r="AK159" s="57"/>
      <c r="AL159" s="57"/>
      <c r="AM159" s="57"/>
      <c r="AN159" s="57"/>
      <c r="AO159" s="57"/>
      <c r="AP159" s="57"/>
      <c r="AQ159" s="57"/>
      <c r="AR159" s="57"/>
      <c r="AS159" s="57"/>
    </row>
    <row r="160" spans="1:45">
      <c r="A160" s="57">
        <v>13</v>
      </c>
      <c r="B160" s="57">
        <v>2026</v>
      </c>
      <c r="C160" s="62">
        <f>SUM('4. Metinis CAPEX'!F$9:F$21)</f>
        <v>0</v>
      </c>
      <c r="D160" s="62" cm="1">
        <f t="array" ref="D160">SUMPRODUCT('4. Metinis CAPEX'!F$9:F$21,IFERROR('2. Investicijos'!$N$5:$N$17/'2. Investicijos'!$H$5:$H$17,0))</f>
        <v>0</v>
      </c>
      <c r="E160" s="62" cm="1">
        <f t="array" ref="E160">SUMPRODUCT('4. Metinis CAPEX'!F$9:F$21,IFERROR(('2. Investicijos'!$I$5:$I$17+'2. Investicijos'!$J$5:$J$17+'2. Investicijos'!$K$5:$K$17+'2. Investicijos'!$L$5:$L$17)/'2. Investicijos'!$H$5:$H$17,0))</f>
        <v>0</v>
      </c>
      <c r="F160" s="62" cm="1">
        <f t="array" ref="F160">SUM('2. Investicijos'!$H$5:$H$17*'7. Pasirinktinis scenarijus'!$C$6)</f>
        <v>0</v>
      </c>
      <c r="G160" s="62" cm="1">
        <f t="array" ref="G160">IF(AND(2026&gt;=2026,2026&lt;2026+'7. Pasirinktinis scenarijus'!$C$5),SUM('2. Investicijos'!$H$5:$H$17*'7. Pasirinktinis scenarijus'!$C$6)/'7. Pasirinktinis scenarijus'!$C$5,0)</f>
        <v>0</v>
      </c>
      <c r="H160" s="62">
        <f t="shared" si="61"/>
        <v>0</v>
      </c>
      <c r="I160" s="62">
        <f>SUM(F$5:F$17)</f>
        <v>0</v>
      </c>
      <c r="J160" s="62">
        <f>0</f>
        <v>0</v>
      </c>
      <c r="K160" s="62">
        <f>SUM(Z$5:Z$17)</f>
        <v>0</v>
      </c>
      <c r="L160" s="62">
        <f>SUM(P$5:P$17)</f>
        <v>0</v>
      </c>
      <c r="M160" s="62">
        <f>SUM(AJ$5:AJ$17)</f>
        <v>0</v>
      </c>
      <c r="N160" s="62">
        <f>'3. Finansinės prielaidos'!C30+M160</f>
        <v>0</v>
      </c>
      <c r="O160" s="62">
        <f>'3. Finansinės prielaidos'!C31</f>
        <v>0</v>
      </c>
      <c r="P160" s="62">
        <f>'3. Finansinės prielaidos'!C32</f>
        <v>0</v>
      </c>
      <c r="Q160" s="62" t="e">
        <f t="shared" si="62"/>
        <v>#VALUE!</v>
      </c>
      <c r="R160" s="62" t="e">
        <f>O160+Q160</f>
        <v>#VALUE!</v>
      </c>
      <c r="S160" s="62" t="e" cm="1">
        <f t="array" ref="S160">SUMPRODUCT(--(2026&gt;'2. Investicijos'!$F$5:$F$17),--(2026&lt;='2. Investicijos'!$F$5:$F$17+'2. Investicijos'!$G$5:$G$17),IFERROR(('2. Investicijos'!$M$5:$M$17+IF('2. Investicijos'!$N$5:$N$17&gt;('2. Investicijos'!$H$5:$H$17*'7. Pasirinktinis scenarijus'!$C$6),'2. Investicijos'!$N$5:$N$17-('2. Investicijos'!$H$5:$H$17*'7. Pasirinktinis scenarijus'!$C$6),0)+('2. Investicijos'!$H$5:$H$17*'7. Pasirinktinis scenarijus'!$C$6))/'2. Investicijos'!$G$5:$G$17,0))+SUMPRODUCT(--(2026&gt;'2. Investicijos'!$F$5:$F$17),--(2026&lt;='2. Investicijos'!$F$5:$F$17+'2. Investicijos'!$G$5:$G$17),IFERROR(('2. Investicijos'!$M$5:$M$17+IF('2. Investicijos'!$N$5:$N$17&gt;('2. Investicijos'!$H$5:$H$17*'7. Pasirinktinis scenarijus'!$C$6),'2. Investicijos'!$N$5:$N$17-('2. Investicijos'!$H$5:$H$17*'7. Pasirinktinis scenarijus'!$C$6),0))*(1-((2026-'2. Investicijos'!$F$5:$F$17)-1)/'2. Investicijos'!$G$5:$G$17),0)*'5. 0% scenarijus'!$C$5)</f>
        <v>#VALUE!</v>
      </c>
      <c r="T160" s="62" t="e">
        <f>'3. Finansinės prielaidos'!C29+S160+G160</f>
        <v>#VALUE!</v>
      </c>
      <c r="U160" s="62" t="e">
        <f t="shared" si="63"/>
        <v>#VALUE!</v>
      </c>
      <c r="V160" s="72" t="e">
        <f t="shared" si="64"/>
        <v>#VALUE!</v>
      </c>
      <c r="W160" s="72" t="e">
        <f t="shared" si="65"/>
        <v>#VALUE!</v>
      </c>
      <c r="X160" s="57" t="e">
        <f t="shared" si="66"/>
        <v>#VALUE!</v>
      </c>
      <c r="Y160" s="57" t="e">
        <f t="shared" si="67"/>
        <v>#VALUE!</v>
      </c>
      <c r="Z160" s="57"/>
      <c r="AA160" s="57"/>
      <c r="AB160" s="57"/>
      <c r="AC160" s="57"/>
      <c r="AD160" s="57"/>
      <c r="AE160" s="57"/>
      <c r="AF160" s="57"/>
      <c r="AG160" s="57"/>
      <c r="AH160" s="57"/>
      <c r="AI160" s="57"/>
      <c r="AJ160" s="57"/>
      <c r="AK160" s="57"/>
      <c r="AL160" s="57"/>
      <c r="AM160" s="57"/>
      <c r="AN160" s="57"/>
      <c r="AO160" s="57"/>
      <c r="AP160" s="57"/>
      <c r="AQ160" s="57"/>
      <c r="AR160" s="57"/>
      <c r="AS160" s="57"/>
    </row>
    <row r="161" spans="1:45">
      <c r="A161" s="57">
        <v>13</v>
      </c>
      <c r="B161" s="57">
        <v>2027</v>
      </c>
      <c r="C161" s="62">
        <f>SUM('4. Metinis CAPEX'!G$9:G$21)</f>
        <v>0</v>
      </c>
      <c r="D161" s="62" cm="1">
        <f t="array" ref="D161">SUMPRODUCT('4. Metinis CAPEX'!G$9:G$21,IFERROR('2. Investicijos'!$N$5:$N$17/'2. Investicijos'!$H$5:$H$17,0))</f>
        <v>0</v>
      </c>
      <c r="E161" s="62" cm="1">
        <f t="array" ref="E161">SUMPRODUCT('4. Metinis CAPEX'!G$9:G$21,IFERROR(('2. Investicijos'!$I$5:$I$17+'2. Investicijos'!$J$5:$J$17+'2. Investicijos'!$K$5:$K$17+'2. Investicijos'!$L$5:$L$17)/'2. Investicijos'!$H$5:$H$17,0))</f>
        <v>0</v>
      </c>
      <c r="F161" s="62" cm="1">
        <f t="array" ref="F161">SUM('2. Investicijos'!$H$5:$H$17*'7. Pasirinktinis scenarijus'!$C$6)</f>
        <v>0</v>
      </c>
      <c r="G161" s="62" cm="1">
        <f t="array" ref="G161">IF(AND(2027&gt;=2026,2027&lt;2026+'7. Pasirinktinis scenarijus'!$C$5),SUM('2. Investicijos'!$H$5:$H$17*'7. Pasirinktinis scenarijus'!$C$6)/'7. Pasirinktinis scenarijus'!$C$5,0)</f>
        <v>0</v>
      </c>
      <c r="H161" s="62">
        <f t="shared" si="61"/>
        <v>0</v>
      </c>
      <c r="I161" s="62">
        <f>SUM(G$5:G$17)</f>
        <v>0</v>
      </c>
      <c r="J161" s="62" t="e" cm="1">
        <f t="array" ref="J161">K161+L161+MAX(0,-R160)*IFERROR(SUMPRODUCT(IF('2. Investicijos'!$N$5:$N$17&gt;('2. Investicijos'!$H$5:$H$17*'7. Pasirinktinis scenarijus'!$C$6),'2. Investicijos'!$N$5:$N$17-('2. Investicijos'!$H$5:$H$17*'7. Pasirinktinis scenarijus'!$C$6),0),'2. Investicijos'!$O$5:$O$17/100)/SUM(IF('2. Investicijos'!$N$5:$N$17&gt;('2. Investicijos'!$H$5:$H$17*'7. Pasirinktinis scenarijus'!$C$6),'2. Investicijos'!$N$5:$N$17-('2. Investicijos'!$H$5:$H$17*'7. Pasirinktinis scenarijus'!$C$6),0)),0)</f>
        <v>#VALUE!</v>
      </c>
      <c r="K161" s="62">
        <f>SUM(AA$5:AA$17)</f>
        <v>0</v>
      </c>
      <c r="L161" s="62">
        <f>SUM(Q$5:Q$17)</f>
        <v>0</v>
      </c>
      <c r="M161" s="62">
        <f>SUM(AK$5:AK$17)</f>
        <v>0</v>
      </c>
      <c r="N161" s="62">
        <f>'3. Finansinės prielaidos'!D30+M161</f>
        <v>0</v>
      </c>
      <c r="O161" s="62">
        <f>'3. Finansinės prielaidos'!D31</f>
        <v>0</v>
      </c>
      <c r="P161" s="62">
        <f>'3. Finansinės prielaidos'!D32</f>
        <v>0</v>
      </c>
      <c r="Q161" s="62" t="e">
        <f t="shared" si="62"/>
        <v>#VALUE!</v>
      </c>
      <c r="R161" s="62" t="e">
        <f>R160+('3. Finansinės prielaidos'!D31-'3. Finansinės prielaidos'!C31)+Q161</f>
        <v>#VALUE!</v>
      </c>
      <c r="S161" s="62" t="e" cm="1">
        <f t="array" ref="S161">SUMPRODUCT(--(2027&gt;'2. Investicijos'!$F$5:$F$17),--(2027&lt;='2. Investicijos'!$F$5:$F$17+'2. Investicijos'!$G$5:$G$17),IFERROR(('2. Investicijos'!$M$5:$M$17+IF('2. Investicijos'!$N$5:$N$17&gt;('2. Investicijos'!$H$5:$H$17*'7. Pasirinktinis scenarijus'!$C$6),'2. Investicijos'!$N$5:$N$17-('2. Investicijos'!$H$5:$H$17*'7. Pasirinktinis scenarijus'!$C$6),0)+('2. Investicijos'!$H$5:$H$17*'7. Pasirinktinis scenarijus'!$C$6))/'2. Investicijos'!$G$5:$G$17,0))+SUMPRODUCT(--(2027&gt;'2. Investicijos'!$F$5:$F$17),--(2027&lt;='2. Investicijos'!$F$5:$F$17+'2. Investicijos'!$G$5:$G$17),IFERROR(('2. Investicijos'!$M$5:$M$17+IF('2. Investicijos'!$N$5:$N$17&gt;('2. Investicijos'!$H$5:$H$17*'7. Pasirinktinis scenarijus'!$C$6),'2. Investicijos'!$N$5:$N$17-('2. Investicijos'!$H$5:$H$17*'7. Pasirinktinis scenarijus'!$C$6),0))*(1-((2027-'2. Investicijos'!$F$5:$F$17)-1)/'2. Investicijos'!$G$5:$G$17),0)*'5. 0% scenarijus'!$C$5)</f>
        <v>#VALUE!</v>
      </c>
      <c r="T161" s="62" t="e">
        <f>'3. Finansinės prielaidos'!D29+S161+G161</f>
        <v>#VALUE!</v>
      </c>
      <c r="U161" s="62" t="e">
        <f t="shared" si="63"/>
        <v>#VALUE!</v>
      </c>
      <c r="V161" s="72" t="e">
        <f t="shared" si="64"/>
        <v>#VALUE!</v>
      </c>
      <c r="W161" s="72" t="e">
        <f t="shared" si="65"/>
        <v>#VALUE!</v>
      </c>
      <c r="X161" s="57" t="e">
        <f t="shared" si="66"/>
        <v>#VALUE!</v>
      </c>
      <c r="Y161" s="57" t="e">
        <f t="shared" si="67"/>
        <v>#VALUE!</v>
      </c>
      <c r="Z161" s="57"/>
      <c r="AA161" s="57"/>
      <c r="AB161" s="57"/>
      <c r="AC161" s="57"/>
      <c r="AD161" s="57"/>
      <c r="AE161" s="57"/>
      <c r="AF161" s="57"/>
      <c r="AG161" s="57"/>
      <c r="AH161" s="57"/>
      <c r="AI161" s="57"/>
      <c r="AJ161" s="57"/>
      <c r="AK161" s="57"/>
      <c r="AL161" s="57"/>
      <c r="AM161" s="57"/>
      <c r="AN161" s="57"/>
      <c r="AO161" s="57"/>
      <c r="AP161" s="57"/>
      <c r="AQ161" s="57"/>
      <c r="AR161" s="57"/>
      <c r="AS161" s="57"/>
    </row>
    <row r="162" spans="1:45">
      <c r="A162" s="57">
        <v>13</v>
      </c>
      <c r="B162" s="57">
        <v>2028</v>
      </c>
      <c r="C162" s="62">
        <f>SUM('4. Metinis CAPEX'!H$9:H$21)</f>
        <v>0</v>
      </c>
      <c r="D162" s="62" cm="1">
        <f t="array" ref="D162">SUMPRODUCT('4. Metinis CAPEX'!H$9:H$21,IFERROR('2. Investicijos'!$N$5:$N$17/'2. Investicijos'!$H$5:$H$17,0))</f>
        <v>0</v>
      </c>
      <c r="E162" s="62" cm="1">
        <f t="array" ref="E162">SUMPRODUCT('4. Metinis CAPEX'!H$9:H$21,IFERROR(('2. Investicijos'!$I$5:$I$17+'2. Investicijos'!$J$5:$J$17+'2. Investicijos'!$K$5:$K$17+'2. Investicijos'!$L$5:$L$17)/'2. Investicijos'!$H$5:$H$17,0))</f>
        <v>0</v>
      </c>
      <c r="F162" s="62" cm="1">
        <f t="array" ref="F162">SUM('2. Investicijos'!$H$5:$H$17*'7. Pasirinktinis scenarijus'!$C$6)</f>
        <v>0</v>
      </c>
      <c r="G162" s="62" cm="1">
        <f t="array" ref="G162">IF(AND(2028&gt;=2026,2028&lt;2026+'7. Pasirinktinis scenarijus'!$C$5),SUM('2. Investicijos'!$H$5:$H$17*'7. Pasirinktinis scenarijus'!$C$6)/'7. Pasirinktinis scenarijus'!$C$5,0)</f>
        <v>0</v>
      </c>
      <c r="H162" s="62">
        <f t="shared" si="61"/>
        <v>0</v>
      </c>
      <c r="I162" s="62">
        <f>SUM(H$5:H$17)</f>
        <v>0</v>
      </c>
      <c r="J162" s="62" t="e" cm="1">
        <f t="array" ref="J162">K162+L162+MAX(0,-R161)*IFERROR(SUMPRODUCT(IF('2. Investicijos'!$N$5:$N$17&gt;('2. Investicijos'!$H$5:$H$17*'7. Pasirinktinis scenarijus'!$C$6),'2. Investicijos'!$N$5:$N$17-('2. Investicijos'!$H$5:$H$17*'7. Pasirinktinis scenarijus'!$C$6),0),'2. Investicijos'!$O$5:$O$17/100)/SUM(IF('2. Investicijos'!$N$5:$N$17&gt;('2. Investicijos'!$H$5:$H$17*'7. Pasirinktinis scenarijus'!$C$6),'2. Investicijos'!$N$5:$N$17-('2. Investicijos'!$H$5:$H$17*'7. Pasirinktinis scenarijus'!$C$6),0)),0)</f>
        <v>#VALUE!</v>
      </c>
      <c r="K162" s="62">
        <f>SUM(AB$5:AB$17)</f>
        <v>0</v>
      </c>
      <c r="L162" s="62">
        <f>SUM(R$5:R$17)</f>
        <v>0</v>
      </c>
      <c r="M162" s="62">
        <f>SUM(AL$5:AL$17)</f>
        <v>0</v>
      </c>
      <c r="N162" s="62">
        <f>'3. Finansinės prielaidos'!E30+M162</f>
        <v>0</v>
      </c>
      <c r="O162" s="62">
        <f>'3. Finansinės prielaidos'!E31</f>
        <v>0</v>
      </c>
      <c r="P162" s="62">
        <f>'3. Finansinės prielaidos'!E32</f>
        <v>0</v>
      </c>
      <c r="Q162" s="62" t="e">
        <f t="shared" si="62"/>
        <v>#VALUE!</v>
      </c>
      <c r="R162" s="62" t="e">
        <f>R161+('3. Finansinės prielaidos'!E31-'3. Finansinės prielaidos'!D31)+Q162</f>
        <v>#VALUE!</v>
      </c>
      <c r="S162" s="62" t="e" cm="1">
        <f t="array" ref="S162">SUMPRODUCT(--(2028&gt;'2. Investicijos'!$F$5:$F$17),--(2028&lt;='2. Investicijos'!$F$5:$F$17+'2. Investicijos'!$G$5:$G$17),IFERROR(('2. Investicijos'!$M$5:$M$17+IF('2. Investicijos'!$N$5:$N$17&gt;('2. Investicijos'!$H$5:$H$17*'7. Pasirinktinis scenarijus'!$C$6),'2. Investicijos'!$N$5:$N$17-('2. Investicijos'!$H$5:$H$17*'7. Pasirinktinis scenarijus'!$C$6),0)+('2. Investicijos'!$H$5:$H$17*'7. Pasirinktinis scenarijus'!$C$6))/'2. Investicijos'!$G$5:$G$17,0))+SUMPRODUCT(--(2028&gt;'2. Investicijos'!$F$5:$F$17),--(2028&lt;='2. Investicijos'!$F$5:$F$17+'2. Investicijos'!$G$5:$G$17),IFERROR(('2. Investicijos'!$M$5:$M$17+IF('2. Investicijos'!$N$5:$N$17&gt;('2. Investicijos'!$H$5:$H$17*'7. Pasirinktinis scenarijus'!$C$6),'2. Investicijos'!$N$5:$N$17-('2. Investicijos'!$H$5:$H$17*'7. Pasirinktinis scenarijus'!$C$6),0))*(1-((2028-'2. Investicijos'!$F$5:$F$17)-1)/'2. Investicijos'!$G$5:$G$17),0)*'5. 0% scenarijus'!$C$5)</f>
        <v>#VALUE!</v>
      </c>
      <c r="T162" s="62" t="e">
        <f>'3. Finansinės prielaidos'!E29+S162+G162</f>
        <v>#VALUE!</v>
      </c>
      <c r="U162" s="62" t="e">
        <f t="shared" si="63"/>
        <v>#VALUE!</v>
      </c>
      <c r="V162" s="72" t="e">
        <f t="shared" si="64"/>
        <v>#VALUE!</v>
      </c>
      <c r="W162" s="72" t="e">
        <f t="shared" si="65"/>
        <v>#VALUE!</v>
      </c>
      <c r="X162" s="57" t="e">
        <f t="shared" si="66"/>
        <v>#VALUE!</v>
      </c>
      <c r="Y162" s="57" t="e">
        <f t="shared" si="67"/>
        <v>#VALUE!</v>
      </c>
      <c r="Z162" s="57"/>
      <c r="AA162" s="57"/>
      <c r="AB162" s="57"/>
      <c r="AC162" s="57"/>
      <c r="AD162" s="57"/>
      <c r="AE162" s="57"/>
      <c r="AF162" s="57"/>
      <c r="AG162" s="57"/>
      <c r="AH162" s="57"/>
      <c r="AI162" s="57"/>
      <c r="AJ162" s="57"/>
      <c r="AK162" s="57"/>
      <c r="AL162" s="57"/>
      <c r="AM162" s="57"/>
      <c r="AN162" s="57"/>
      <c r="AO162" s="57"/>
      <c r="AP162" s="57"/>
      <c r="AQ162" s="57"/>
      <c r="AR162" s="57"/>
      <c r="AS162" s="57"/>
    </row>
    <row r="163" spans="1:45">
      <c r="A163" s="57">
        <v>13</v>
      </c>
      <c r="B163" s="57">
        <v>2029</v>
      </c>
      <c r="C163" s="62">
        <f>SUM('4. Metinis CAPEX'!I$9:I$21)</f>
        <v>0</v>
      </c>
      <c r="D163" s="62" cm="1">
        <f t="array" ref="D163">SUMPRODUCT('4. Metinis CAPEX'!I$9:I$21,IFERROR('2. Investicijos'!$N$5:$N$17/'2. Investicijos'!$H$5:$H$17,0))</f>
        <v>0</v>
      </c>
      <c r="E163" s="62" cm="1">
        <f t="array" ref="E163">SUMPRODUCT('4. Metinis CAPEX'!I$9:I$21,IFERROR(('2. Investicijos'!$I$5:$I$17+'2. Investicijos'!$J$5:$J$17+'2. Investicijos'!$K$5:$K$17+'2. Investicijos'!$L$5:$L$17)/'2. Investicijos'!$H$5:$H$17,0))</f>
        <v>0</v>
      </c>
      <c r="F163" s="62" cm="1">
        <f t="array" ref="F163">SUM('2. Investicijos'!$H$5:$H$17*'7. Pasirinktinis scenarijus'!$C$6)</f>
        <v>0</v>
      </c>
      <c r="G163" s="62" cm="1">
        <f t="array" ref="G163">IF(AND(2029&gt;=2026,2029&lt;2026+'7. Pasirinktinis scenarijus'!$C$5),SUM('2. Investicijos'!$H$5:$H$17*'7. Pasirinktinis scenarijus'!$C$6)/'7. Pasirinktinis scenarijus'!$C$5,0)</f>
        <v>0</v>
      </c>
      <c r="H163" s="62">
        <f t="shared" si="61"/>
        <v>0</v>
      </c>
      <c r="I163" s="62">
        <f>SUM(I$5:I$17)</f>
        <v>0</v>
      </c>
      <c r="J163" s="62" t="e" cm="1">
        <f t="array" ref="J163">K163+L163+MAX(0,-R162)*IFERROR(SUMPRODUCT(IF('2. Investicijos'!$N$5:$N$17&gt;('2. Investicijos'!$H$5:$H$17*'7. Pasirinktinis scenarijus'!$C$6),'2. Investicijos'!$N$5:$N$17-('2. Investicijos'!$H$5:$H$17*'7. Pasirinktinis scenarijus'!$C$6),0),'2. Investicijos'!$O$5:$O$17/100)/SUM(IF('2. Investicijos'!$N$5:$N$17&gt;('2. Investicijos'!$H$5:$H$17*'7. Pasirinktinis scenarijus'!$C$6),'2. Investicijos'!$N$5:$N$17-('2. Investicijos'!$H$5:$H$17*'7. Pasirinktinis scenarijus'!$C$6),0)),0)</f>
        <v>#VALUE!</v>
      </c>
      <c r="K163" s="62">
        <f>SUM(AC$5:AC$17)</f>
        <v>0</v>
      </c>
      <c r="L163" s="62">
        <f>SUM(S$5:S$17)</f>
        <v>0</v>
      </c>
      <c r="M163" s="62">
        <f>SUM(AM$5:AM$17)</f>
        <v>0</v>
      </c>
      <c r="N163" s="62">
        <f>'3. Finansinės prielaidos'!F30+M163</f>
        <v>0</v>
      </c>
      <c r="O163" s="62">
        <f>'3. Finansinės prielaidos'!F31</f>
        <v>0</v>
      </c>
      <c r="P163" s="62">
        <f>'3. Finansinės prielaidos'!F32</f>
        <v>0</v>
      </c>
      <c r="Q163" s="62" t="e">
        <f t="shared" si="62"/>
        <v>#VALUE!</v>
      </c>
      <c r="R163" s="62" t="e">
        <f>R162+('3. Finansinės prielaidos'!F31-'3. Finansinės prielaidos'!E31)+Q163</f>
        <v>#VALUE!</v>
      </c>
      <c r="S163" s="62" t="e" cm="1">
        <f t="array" ref="S163">SUMPRODUCT(--(2029&gt;'2. Investicijos'!$F$5:$F$17),--(2029&lt;='2. Investicijos'!$F$5:$F$17+'2. Investicijos'!$G$5:$G$17),IFERROR(('2. Investicijos'!$M$5:$M$17+IF('2. Investicijos'!$N$5:$N$17&gt;('2. Investicijos'!$H$5:$H$17*'7. Pasirinktinis scenarijus'!$C$6),'2. Investicijos'!$N$5:$N$17-('2. Investicijos'!$H$5:$H$17*'7. Pasirinktinis scenarijus'!$C$6),0)+('2. Investicijos'!$H$5:$H$17*'7. Pasirinktinis scenarijus'!$C$6))/'2. Investicijos'!$G$5:$G$17,0))+SUMPRODUCT(--(2029&gt;'2. Investicijos'!$F$5:$F$17),--(2029&lt;='2. Investicijos'!$F$5:$F$17+'2. Investicijos'!$G$5:$G$17),IFERROR(('2. Investicijos'!$M$5:$M$17+IF('2. Investicijos'!$N$5:$N$17&gt;('2. Investicijos'!$H$5:$H$17*'7. Pasirinktinis scenarijus'!$C$6),'2. Investicijos'!$N$5:$N$17-('2. Investicijos'!$H$5:$H$17*'7. Pasirinktinis scenarijus'!$C$6),0))*(1-((2029-'2. Investicijos'!$F$5:$F$17)-1)/'2. Investicijos'!$G$5:$G$17),0)*'5. 0% scenarijus'!$C$5)</f>
        <v>#VALUE!</v>
      </c>
      <c r="T163" s="62" t="e">
        <f>'3. Finansinės prielaidos'!F29+S163+G163</f>
        <v>#VALUE!</v>
      </c>
      <c r="U163" s="62" t="e">
        <f t="shared" si="63"/>
        <v>#VALUE!</v>
      </c>
      <c r="V163" s="72" t="e">
        <f t="shared" si="64"/>
        <v>#VALUE!</v>
      </c>
      <c r="W163" s="72" t="e">
        <f t="shared" si="65"/>
        <v>#VALUE!</v>
      </c>
      <c r="X163" s="57" t="e">
        <f t="shared" si="66"/>
        <v>#VALUE!</v>
      </c>
      <c r="Y163" s="57" t="e">
        <f t="shared" si="67"/>
        <v>#VALUE!</v>
      </c>
      <c r="Z163" s="57"/>
      <c r="AA163" s="57"/>
      <c r="AB163" s="57"/>
      <c r="AC163" s="57"/>
      <c r="AD163" s="57"/>
      <c r="AE163" s="57"/>
      <c r="AF163" s="57"/>
      <c r="AG163" s="57"/>
      <c r="AH163" s="57"/>
      <c r="AI163" s="57"/>
      <c r="AJ163" s="57"/>
      <c r="AK163" s="57"/>
      <c r="AL163" s="57"/>
      <c r="AM163" s="57"/>
      <c r="AN163" s="57"/>
      <c r="AO163" s="57"/>
      <c r="AP163" s="57"/>
      <c r="AQ163" s="57"/>
      <c r="AR163" s="57"/>
      <c r="AS163" s="57"/>
    </row>
    <row r="164" spans="1:45">
      <c r="A164" s="57">
        <v>13</v>
      </c>
      <c r="B164" s="57">
        <v>2030</v>
      </c>
      <c r="C164" s="62">
        <f>SUM('4. Metinis CAPEX'!J$9:J$21)</f>
        <v>0</v>
      </c>
      <c r="D164" s="62" cm="1">
        <f t="array" ref="D164">SUMPRODUCT('4. Metinis CAPEX'!J$9:J$21,IFERROR('2. Investicijos'!$N$5:$N$17/'2. Investicijos'!$H$5:$H$17,0))</f>
        <v>0</v>
      </c>
      <c r="E164" s="62" cm="1">
        <f t="array" ref="E164">SUMPRODUCT('4. Metinis CAPEX'!J$9:J$21,IFERROR(('2. Investicijos'!$I$5:$I$17+'2. Investicijos'!$J$5:$J$17+'2. Investicijos'!$K$5:$K$17+'2. Investicijos'!$L$5:$L$17)/'2. Investicijos'!$H$5:$H$17,0))</f>
        <v>0</v>
      </c>
      <c r="F164" s="62" cm="1">
        <f t="array" ref="F164">SUM('2. Investicijos'!$H$5:$H$17*'7. Pasirinktinis scenarijus'!$C$6)</f>
        <v>0</v>
      </c>
      <c r="G164" s="62" cm="1">
        <f t="array" ref="G164">IF(AND(2030&gt;=2026,2030&lt;2026+'7. Pasirinktinis scenarijus'!$C$5),SUM('2. Investicijos'!$H$5:$H$17*'7. Pasirinktinis scenarijus'!$C$6)/'7. Pasirinktinis scenarijus'!$C$5,0)</f>
        <v>0</v>
      </c>
      <c r="H164" s="62">
        <f t="shared" si="61"/>
        <v>0</v>
      </c>
      <c r="I164" s="62">
        <f>SUM(J$5:J$17)</f>
        <v>0</v>
      </c>
      <c r="J164" s="62" t="e" cm="1">
        <f t="array" ref="J164">K164+L164+MAX(0,-R163)*IFERROR(SUMPRODUCT(IF('2. Investicijos'!$N$5:$N$17&gt;('2. Investicijos'!$H$5:$H$17*'7. Pasirinktinis scenarijus'!$C$6),'2. Investicijos'!$N$5:$N$17-('2. Investicijos'!$H$5:$H$17*'7. Pasirinktinis scenarijus'!$C$6),0),'2. Investicijos'!$O$5:$O$17/100)/SUM(IF('2. Investicijos'!$N$5:$N$17&gt;('2. Investicijos'!$H$5:$H$17*'7. Pasirinktinis scenarijus'!$C$6),'2. Investicijos'!$N$5:$N$17-('2. Investicijos'!$H$5:$H$17*'7. Pasirinktinis scenarijus'!$C$6),0)),0)</f>
        <v>#VALUE!</v>
      </c>
      <c r="K164" s="62">
        <f>SUM(AD$5:AD$17)</f>
        <v>0</v>
      </c>
      <c r="L164" s="62">
        <f>SUM(T$5:T$17)</f>
        <v>0</v>
      </c>
      <c r="M164" s="62">
        <f>SUM(AN$5:AN$17)</f>
        <v>0</v>
      </c>
      <c r="N164" s="62">
        <f>'3. Finansinės prielaidos'!G30+M164</f>
        <v>0</v>
      </c>
      <c r="O164" s="62">
        <f>'3. Finansinės prielaidos'!G31</f>
        <v>0</v>
      </c>
      <c r="P164" s="62">
        <f>'3. Finansinės prielaidos'!G32</f>
        <v>0</v>
      </c>
      <c r="Q164" s="62" t="e">
        <f t="shared" si="62"/>
        <v>#VALUE!</v>
      </c>
      <c r="R164" s="62" t="e">
        <f>R163+('3. Finansinės prielaidos'!G31-'3. Finansinės prielaidos'!F31)+Q164</f>
        <v>#VALUE!</v>
      </c>
      <c r="S164" s="62" t="e" cm="1">
        <f t="array" ref="S164">SUMPRODUCT(--(2030&gt;'2. Investicijos'!$F$5:$F$17),--(2030&lt;='2. Investicijos'!$F$5:$F$17+'2. Investicijos'!$G$5:$G$17),IFERROR(('2. Investicijos'!$M$5:$M$17+IF('2. Investicijos'!$N$5:$N$17&gt;('2. Investicijos'!$H$5:$H$17*'7. Pasirinktinis scenarijus'!$C$6),'2. Investicijos'!$N$5:$N$17-('2. Investicijos'!$H$5:$H$17*'7. Pasirinktinis scenarijus'!$C$6),0)+('2. Investicijos'!$H$5:$H$17*'7. Pasirinktinis scenarijus'!$C$6))/'2. Investicijos'!$G$5:$G$17,0))+SUMPRODUCT(--(2030&gt;'2. Investicijos'!$F$5:$F$17),--(2030&lt;='2. Investicijos'!$F$5:$F$17+'2. Investicijos'!$G$5:$G$17),IFERROR(('2. Investicijos'!$M$5:$M$17+IF('2. Investicijos'!$N$5:$N$17&gt;('2. Investicijos'!$H$5:$H$17*'7. Pasirinktinis scenarijus'!$C$6),'2. Investicijos'!$N$5:$N$17-('2. Investicijos'!$H$5:$H$17*'7. Pasirinktinis scenarijus'!$C$6),0))*(1-((2030-'2. Investicijos'!$F$5:$F$17)-1)/'2. Investicijos'!$G$5:$G$17),0)*'5. 0% scenarijus'!$C$5)</f>
        <v>#VALUE!</v>
      </c>
      <c r="T164" s="62" t="e">
        <f>'3. Finansinės prielaidos'!G29+S164+G164</f>
        <v>#VALUE!</v>
      </c>
      <c r="U164" s="62" t="e">
        <f t="shared" si="63"/>
        <v>#VALUE!</v>
      </c>
      <c r="V164" s="72" t="e">
        <f t="shared" si="64"/>
        <v>#VALUE!</v>
      </c>
      <c r="W164" s="72" t="e">
        <f t="shared" si="65"/>
        <v>#VALUE!</v>
      </c>
      <c r="X164" s="57" t="e">
        <f t="shared" si="66"/>
        <v>#VALUE!</v>
      </c>
      <c r="Y164" s="57" t="e">
        <f t="shared" si="67"/>
        <v>#VALUE!</v>
      </c>
      <c r="Z164" s="57"/>
      <c r="AA164" s="57"/>
      <c r="AB164" s="57"/>
      <c r="AC164" s="57"/>
      <c r="AD164" s="57"/>
      <c r="AE164" s="57"/>
      <c r="AF164" s="57"/>
      <c r="AG164" s="57"/>
      <c r="AH164" s="57"/>
      <c r="AI164" s="57"/>
      <c r="AJ164" s="57"/>
      <c r="AK164" s="57"/>
      <c r="AL164" s="57"/>
      <c r="AM164" s="57"/>
      <c r="AN164" s="57"/>
      <c r="AO164" s="57"/>
      <c r="AP164" s="57"/>
      <c r="AQ164" s="57"/>
      <c r="AR164" s="57"/>
      <c r="AS164" s="57"/>
    </row>
    <row r="165" spans="1:45">
      <c r="A165" s="57">
        <v>13</v>
      </c>
      <c r="B165" s="57">
        <v>2031</v>
      </c>
      <c r="C165" s="62">
        <f>SUM('4. Metinis CAPEX'!K$9:K$21)</f>
        <v>0</v>
      </c>
      <c r="D165" s="62" cm="1">
        <f t="array" ref="D165">SUMPRODUCT('4. Metinis CAPEX'!K$9:K$21,IFERROR('2. Investicijos'!$N$5:$N$17/'2. Investicijos'!$H$5:$H$17,0))</f>
        <v>0</v>
      </c>
      <c r="E165" s="62" cm="1">
        <f t="array" ref="E165">SUMPRODUCT('4. Metinis CAPEX'!K$9:K$21,IFERROR(('2. Investicijos'!$I$5:$I$17+'2. Investicijos'!$J$5:$J$17+'2. Investicijos'!$K$5:$K$17+'2. Investicijos'!$L$5:$L$17)/'2. Investicijos'!$H$5:$H$17,0))</f>
        <v>0</v>
      </c>
      <c r="F165" s="62" cm="1">
        <f t="array" ref="F165">SUM('2. Investicijos'!$H$5:$H$17*'7. Pasirinktinis scenarijus'!$C$6)</f>
        <v>0</v>
      </c>
      <c r="G165" s="62" cm="1">
        <f t="array" ref="G165">IF(AND(2031&gt;=2026,2031&lt;2026+'7. Pasirinktinis scenarijus'!$C$5),SUM('2. Investicijos'!$H$5:$H$17*'7. Pasirinktinis scenarijus'!$C$6)/'7. Pasirinktinis scenarijus'!$C$5,0)</f>
        <v>0</v>
      </c>
      <c r="H165" s="62">
        <f t="shared" si="61"/>
        <v>0</v>
      </c>
      <c r="I165" s="62">
        <f>SUM(K$5:K$17)</f>
        <v>0</v>
      </c>
      <c r="J165" s="62" t="e" cm="1">
        <f t="array" ref="J165">K165+L165+MAX(0,-R164)*IFERROR(SUMPRODUCT(IF('2. Investicijos'!$N$5:$N$17&gt;('2. Investicijos'!$H$5:$H$17*'7. Pasirinktinis scenarijus'!$C$6),'2. Investicijos'!$N$5:$N$17-('2. Investicijos'!$H$5:$H$17*'7. Pasirinktinis scenarijus'!$C$6),0),'2. Investicijos'!$O$5:$O$17/100)/SUM(IF('2. Investicijos'!$N$5:$N$17&gt;('2. Investicijos'!$H$5:$H$17*'7. Pasirinktinis scenarijus'!$C$6),'2. Investicijos'!$N$5:$N$17-('2. Investicijos'!$H$5:$H$17*'7. Pasirinktinis scenarijus'!$C$6),0)),0)</f>
        <v>#VALUE!</v>
      </c>
      <c r="K165" s="62">
        <f>SUM(AE$5:AE$17)</f>
        <v>0</v>
      </c>
      <c r="L165" s="62">
        <f>SUM(U$5:U$17)</f>
        <v>0</v>
      </c>
      <c r="M165" s="62">
        <f>SUM(AO$5:AO$17)</f>
        <v>0</v>
      </c>
      <c r="N165" s="62">
        <f>'3. Finansinės prielaidos'!H30+M165</f>
        <v>0</v>
      </c>
      <c r="O165" s="62">
        <f>'3. Finansinės prielaidos'!H31</f>
        <v>0</v>
      </c>
      <c r="P165" s="62">
        <f>'3. Finansinės prielaidos'!H32</f>
        <v>0</v>
      </c>
      <c r="Q165" s="62" t="e">
        <f t="shared" si="62"/>
        <v>#VALUE!</v>
      </c>
      <c r="R165" s="62" t="e">
        <f>R164+('3. Finansinės prielaidos'!H31-'3. Finansinės prielaidos'!G31)+Q165</f>
        <v>#VALUE!</v>
      </c>
      <c r="S165" s="62" t="e" cm="1">
        <f t="array" ref="S165">SUMPRODUCT(--(2031&gt;'2. Investicijos'!$F$5:$F$17),--(2031&lt;='2. Investicijos'!$F$5:$F$17+'2. Investicijos'!$G$5:$G$17),IFERROR(('2. Investicijos'!$M$5:$M$17+IF('2. Investicijos'!$N$5:$N$17&gt;('2. Investicijos'!$H$5:$H$17*'7. Pasirinktinis scenarijus'!$C$6),'2. Investicijos'!$N$5:$N$17-('2. Investicijos'!$H$5:$H$17*'7. Pasirinktinis scenarijus'!$C$6),0)+('2. Investicijos'!$H$5:$H$17*'7. Pasirinktinis scenarijus'!$C$6))/'2. Investicijos'!$G$5:$G$17,0))+SUMPRODUCT(--(2031&gt;'2. Investicijos'!$F$5:$F$17),--(2031&lt;='2. Investicijos'!$F$5:$F$17+'2. Investicijos'!$G$5:$G$17),IFERROR(('2. Investicijos'!$M$5:$M$17+IF('2. Investicijos'!$N$5:$N$17&gt;('2. Investicijos'!$H$5:$H$17*'7. Pasirinktinis scenarijus'!$C$6),'2. Investicijos'!$N$5:$N$17-('2. Investicijos'!$H$5:$H$17*'7. Pasirinktinis scenarijus'!$C$6),0))*(1-((2031-'2. Investicijos'!$F$5:$F$17)-1)/'2. Investicijos'!$G$5:$G$17),0)*'5. 0% scenarijus'!$C$5)</f>
        <v>#VALUE!</v>
      </c>
      <c r="T165" s="62" t="e">
        <f>'3. Finansinės prielaidos'!H29+S165+G165</f>
        <v>#VALUE!</v>
      </c>
      <c r="U165" s="62" t="e">
        <f t="shared" si="63"/>
        <v>#VALUE!</v>
      </c>
      <c r="V165" s="72" t="e">
        <f t="shared" si="64"/>
        <v>#VALUE!</v>
      </c>
      <c r="W165" s="72" t="e">
        <f t="shared" si="65"/>
        <v>#VALUE!</v>
      </c>
      <c r="X165" s="57" t="e">
        <f t="shared" si="66"/>
        <v>#VALUE!</v>
      </c>
      <c r="Y165" s="57" t="e">
        <f t="shared" si="67"/>
        <v>#VALUE!</v>
      </c>
      <c r="Z165" s="57"/>
      <c r="AA165" s="57"/>
      <c r="AB165" s="57"/>
      <c r="AC165" s="57"/>
      <c r="AD165" s="57"/>
      <c r="AE165" s="57"/>
      <c r="AF165" s="57"/>
      <c r="AG165" s="57"/>
      <c r="AH165" s="57"/>
      <c r="AI165" s="57"/>
      <c r="AJ165" s="57"/>
      <c r="AK165" s="57"/>
      <c r="AL165" s="57"/>
      <c r="AM165" s="57"/>
      <c r="AN165" s="57"/>
      <c r="AO165" s="57"/>
      <c r="AP165" s="57"/>
      <c r="AQ165" s="57"/>
      <c r="AR165" s="57"/>
      <c r="AS165" s="57"/>
    </row>
    <row r="166" spans="1:45">
      <c r="A166" s="57">
        <v>13</v>
      </c>
      <c r="B166" s="57">
        <v>2032</v>
      </c>
      <c r="C166" s="62">
        <f>SUM('4. Metinis CAPEX'!L$9:L$21)</f>
        <v>0</v>
      </c>
      <c r="D166" s="62" cm="1">
        <f t="array" ref="D166">SUMPRODUCT('4. Metinis CAPEX'!L$9:L$21,IFERROR('2. Investicijos'!$N$5:$N$17/'2. Investicijos'!$H$5:$H$17,0))</f>
        <v>0</v>
      </c>
      <c r="E166" s="62" cm="1">
        <f t="array" ref="E166">SUMPRODUCT('4. Metinis CAPEX'!L$9:L$21,IFERROR(('2. Investicijos'!$I$5:$I$17+'2. Investicijos'!$J$5:$J$17+'2. Investicijos'!$K$5:$K$17+'2. Investicijos'!$L$5:$L$17)/'2. Investicijos'!$H$5:$H$17,0))</f>
        <v>0</v>
      </c>
      <c r="F166" s="62" cm="1">
        <f t="array" ref="F166">SUM('2. Investicijos'!$H$5:$H$17*'7. Pasirinktinis scenarijus'!$C$6)</f>
        <v>0</v>
      </c>
      <c r="G166" s="62" cm="1">
        <f t="array" ref="G166">IF(AND(2032&gt;=2026,2032&lt;2026+'7. Pasirinktinis scenarijus'!$C$5),SUM('2. Investicijos'!$H$5:$H$17*'7. Pasirinktinis scenarijus'!$C$6)/'7. Pasirinktinis scenarijus'!$C$5,0)</f>
        <v>0</v>
      </c>
      <c r="H166" s="62">
        <f t="shared" si="61"/>
        <v>0</v>
      </c>
      <c r="I166" s="62">
        <f>SUM(L$5:L$17)</f>
        <v>0</v>
      </c>
      <c r="J166" s="62" t="e" cm="1">
        <f t="array" ref="J166">K166+L166+MAX(0,-R165)*IFERROR(SUMPRODUCT(IF('2. Investicijos'!$N$5:$N$17&gt;('2. Investicijos'!$H$5:$H$17*'7. Pasirinktinis scenarijus'!$C$6),'2. Investicijos'!$N$5:$N$17-('2. Investicijos'!$H$5:$H$17*'7. Pasirinktinis scenarijus'!$C$6),0),'2. Investicijos'!$O$5:$O$17/100)/SUM(IF('2. Investicijos'!$N$5:$N$17&gt;('2. Investicijos'!$H$5:$H$17*'7. Pasirinktinis scenarijus'!$C$6),'2. Investicijos'!$N$5:$N$17-('2. Investicijos'!$H$5:$H$17*'7. Pasirinktinis scenarijus'!$C$6),0)),0)</f>
        <v>#VALUE!</v>
      </c>
      <c r="K166" s="62">
        <f>SUM(AF$5:AF$17)</f>
        <v>0</v>
      </c>
      <c r="L166" s="62">
        <f>SUM(V$5:V$17)</f>
        <v>0</v>
      </c>
      <c r="M166" s="62">
        <f>SUM(AP$5:AP$17)</f>
        <v>0</v>
      </c>
      <c r="N166" s="62">
        <f>'3. Finansinės prielaidos'!I30+M166</f>
        <v>0</v>
      </c>
      <c r="O166" s="62">
        <f>'3. Finansinės prielaidos'!I31</f>
        <v>0</v>
      </c>
      <c r="P166" s="62">
        <f>'3. Finansinės prielaidos'!I32</f>
        <v>0</v>
      </c>
      <c r="Q166" s="62" t="e">
        <f t="shared" si="62"/>
        <v>#VALUE!</v>
      </c>
      <c r="R166" s="62" t="e">
        <f>R165+('3. Finansinės prielaidos'!I31-'3. Finansinės prielaidos'!H31)+Q166</f>
        <v>#VALUE!</v>
      </c>
      <c r="S166" s="62" t="e" cm="1">
        <f t="array" ref="S166">SUMPRODUCT(--(2032&gt;'2. Investicijos'!$F$5:$F$17),--(2032&lt;='2. Investicijos'!$F$5:$F$17+'2. Investicijos'!$G$5:$G$17),IFERROR(('2. Investicijos'!$M$5:$M$17+IF('2. Investicijos'!$N$5:$N$17&gt;('2. Investicijos'!$H$5:$H$17*'7. Pasirinktinis scenarijus'!$C$6),'2. Investicijos'!$N$5:$N$17-('2. Investicijos'!$H$5:$H$17*'7. Pasirinktinis scenarijus'!$C$6),0)+('2. Investicijos'!$H$5:$H$17*'7. Pasirinktinis scenarijus'!$C$6))/'2. Investicijos'!$G$5:$G$17,0))+SUMPRODUCT(--(2032&gt;'2. Investicijos'!$F$5:$F$17),--(2032&lt;='2. Investicijos'!$F$5:$F$17+'2. Investicijos'!$G$5:$G$17),IFERROR(('2. Investicijos'!$M$5:$M$17+IF('2. Investicijos'!$N$5:$N$17&gt;('2. Investicijos'!$H$5:$H$17*'7. Pasirinktinis scenarijus'!$C$6),'2. Investicijos'!$N$5:$N$17-('2. Investicijos'!$H$5:$H$17*'7. Pasirinktinis scenarijus'!$C$6),0))*(1-((2032-'2. Investicijos'!$F$5:$F$17)-1)/'2. Investicijos'!$G$5:$G$17),0)*'5. 0% scenarijus'!$C$5)</f>
        <v>#VALUE!</v>
      </c>
      <c r="T166" s="62" t="e">
        <f>'3. Finansinės prielaidos'!I29+S166+G166</f>
        <v>#VALUE!</v>
      </c>
      <c r="U166" s="62" t="e">
        <f t="shared" si="63"/>
        <v>#VALUE!</v>
      </c>
      <c r="V166" s="72" t="e">
        <f t="shared" si="64"/>
        <v>#VALUE!</v>
      </c>
      <c r="W166" s="72" t="e">
        <f t="shared" si="65"/>
        <v>#VALUE!</v>
      </c>
      <c r="X166" s="57" t="e">
        <f t="shared" si="66"/>
        <v>#VALUE!</v>
      </c>
      <c r="Y166" s="57" t="e">
        <f t="shared" si="67"/>
        <v>#VALUE!</v>
      </c>
      <c r="Z166" s="57"/>
      <c r="AA166" s="57"/>
      <c r="AB166" s="57"/>
      <c r="AC166" s="57"/>
      <c r="AD166" s="57"/>
      <c r="AE166" s="57"/>
      <c r="AF166" s="57"/>
      <c r="AG166" s="57"/>
      <c r="AH166" s="57"/>
      <c r="AI166" s="57"/>
      <c r="AJ166" s="57"/>
      <c r="AK166" s="57"/>
      <c r="AL166" s="57"/>
      <c r="AM166" s="57"/>
      <c r="AN166" s="57"/>
      <c r="AO166" s="57"/>
      <c r="AP166" s="57"/>
      <c r="AQ166" s="57"/>
      <c r="AR166" s="57"/>
      <c r="AS166" s="57"/>
    </row>
    <row r="167" spans="1:45">
      <c r="A167" s="57">
        <v>13</v>
      </c>
      <c r="B167" s="57">
        <v>2033</v>
      </c>
      <c r="C167" s="62">
        <f>SUM('4. Metinis CAPEX'!M$9:M$21)</f>
        <v>0</v>
      </c>
      <c r="D167" s="62" cm="1">
        <f t="array" ref="D167">SUMPRODUCT('4. Metinis CAPEX'!M$9:M$21,IFERROR('2. Investicijos'!$N$5:$N$17/'2. Investicijos'!$H$5:$H$17,0))</f>
        <v>0</v>
      </c>
      <c r="E167" s="62" cm="1">
        <f t="array" ref="E167">SUMPRODUCT('4. Metinis CAPEX'!M$9:M$21,IFERROR(('2. Investicijos'!$I$5:$I$17+'2. Investicijos'!$J$5:$J$17+'2. Investicijos'!$K$5:$K$17+'2. Investicijos'!$L$5:$L$17)/'2. Investicijos'!$H$5:$H$17,0))</f>
        <v>0</v>
      </c>
      <c r="F167" s="62" cm="1">
        <f t="array" ref="F167">SUM('2. Investicijos'!$H$5:$H$17*'7. Pasirinktinis scenarijus'!$C$6)</f>
        <v>0</v>
      </c>
      <c r="G167" s="62" cm="1">
        <f t="array" ref="G167">IF(AND(2033&gt;=2026,2033&lt;2026+'7. Pasirinktinis scenarijus'!$C$5),SUM('2. Investicijos'!$H$5:$H$17*'7. Pasirinktinis scenarijus'!$C$6)/'7. Pasirinktinis scenarijus'!$C$5,0)</f>
        <v>0</v>
      </c>
      <c r="H167" s="62">
        <f t="shared" si="61"/>
        <v>0</v>
      </c>
      <c r="I167" s="62">
        <f>SUM(M$5:M$17)</f>
        <v>0</v>
      </c>
      <c r="J167" s="62" t="e" cm="1">
        <f t="array" ref="J167">K167+L167+MAX(0,-R166)*IFERROR(SUMPRODUCT(IF('2. Investicijos'!$N$5:$N$17&gt;('2. Investicijos'!$H$5:$H$17*'7. Pasirinktinis scenarijus'!$C$6),'2. Investicijos'!$N$5:$N$17-('2. Investicijos'!$H$5:$H$17*'7. Pasirinktinis scenarijus'!$C$6),0),'2. Investicijos'!$O$5:$O$17/100)/SUM(IF('2. Investicijos'!$N$5:$N$17&gt;('2. Investicijos'!$H$5:$H$17*'7. Pasirinktinis scenarijus'!$C$6),'2. Investicijos'!$N$5:$N$17-('2. Investicijos'!$H$5:$H$17*'7. Pasirinktinis scenarijus'!$C$6),0)),0)</f>
        <v>#VALUE!</v>
      </c>
      <c r="K167" s="62">
        <f>SUM(AG$5:AG$17)</f>
        <v>0</v>
      </c>
      <c r="L167" s="62">
        <f>SUM(W$5:W$17)</f>
        <v>0</v>
      </c>
      <c r="M167" s="62">
        <f>SUM(AQ$5:AQ$17)</f>
        <v>0</v>
      </c>
      <c r="N167" s="62">
        <f>'3. Finansinės prielaidos'!J30+M167</f>
        <v>0</v>
      </c>
      <c r="O167" s="62">
        <f>'3. Finansinės prielaidos'!J31</f>
        <v>0</v>
      </c>
      <c r="P167" s="62">
        <f>'3. Finansinės prielaidos'!J32</f>
        <v>0</v>
      </c>
      <c r="Q167" s="62" t="e">
        <f t="shared" si="62"/>
        <v>#VALUE!</v>
      </c>
      <c r="R167" s="62" t="e">
        <f>R166+('3. Finansinės prielaidos'!J31-'3. Finansinės prielaidos'!I31)+Q167</f>
        <v>#VALUE!</v>
      </c>
      <c r="S167" s="62" t="e" cm="1">
        <f t="array" ref="S167">SUMPRODUCT(--(2033&gt;'2. Investicijos'!$F$5:$F$17),--(2033&lt;='2. Investicijos'!$F$5:$F$17+'2. Investicijos'!$G$5:$G$17),IFERROR(('2. Investicijos'!$M$5:$M$17+IF('2. Investicijos'!$N$5:$N$17&gt;('2. Investicijos'!$H$5:$H$17*'7. Pasirinktinis scenarijus'!$C$6),'2. Investicijos'!$N$5:$N$17-('2. Investicijos'!$H$5:$H$17*'7. Pasirinktinis scenarijus'!$C$6),0)+('2. Investicijos'!$H$5:$H$17*'7. Pasirinktinis scenarijus'!$C$6))/'2. Investicijos'!$G$5:$G$17,0))+SUMPRODUCT(--(2033&gt;'2. Investicijos'!$F$5:$F$17),--(2033&lt;='2. Investicijos'!$F$5:$F$17+'2. Investicijos'!$G$5:$G$17),IFERROR(('2. Investicijos'!$M$5:$M$17+IF('2. Investicijos'!$N$5:$N$17&gt;('2. Investicijos'!$H$5:$H$17*'7. Pasirinktinis scenarijus'!$C$6),'2. Investicijos'!$N$5:$N$17-('2. Investicijos'!$H$5:$H$17*'7. Pasirinktinis scenarijus'!$C$6),0))*(1-((2033-'2. Investicijos'!$F$5:$F$17)-1)/'2. Investicijos'!$G$5:$G$17),0)*'5. 0% scenarijus'!$C$5)</f>
        <v>#VALUE!</v>
      </c>
      <c r="T167" s="62" t="e">
        <f>'3. Finansinės prielaidos'!J29+S167+G167</f>
        <v>#VALUE!</v>
      </c>
      <c r="U167" s="62" t="e">
        <f t="shared" si="63"/>
        <v>#VALUE!</v>
      </c>
      <c r="V167" s="72" t="e">
        <f t="shared" si="64"/>
        <v>#VALUE!</v>
      </c>
      <c r="W167" s="72" t="e">
        <f t="shared" si="65"/>
        <v>#VALUE!</v>
      </c>
      <c r="X167" s="57" t="e">
        <f t="shared" si="66"/>
        <v>#VALUE!</v>
      </c>
      <c r="Y167" s="57" t="e">
        <f t="shared" si="67"/>
        <v>#VALUE!</v>
      </c>
      <c r="Z167" s="57"/>
      <c r="AA167" s="57"/>
      <c r="AB167" s="57"/>
      <c r="AC167" s="57"/>
      <c r="AD167" s="57"/>
      <c r="AE167" s="57"/>
      <c r="AF167" s="57"/>
      <c r="AG167" s="57"/>
      <c r="AH167" s="57"/>
      <c r="AI167" s="57"/>
      <c r="AJ167" s="57"/>
      <c r="AK167" s="57"/>
      <c r="AL167" s="57"/>
      <c r="AM167" s="57"/>
      <c r="AN167" s="57"/>
      <c r="AO167" s="57"/>
      <c r="AP167" s="57"/>
      <c r="AQ167" s="57"/>
      <c r="AR167" s="57"/>
      <c r="AS167" s="57"/>
    </row>
    <row r="168" spans="1:45">
      <c r="A168" s="57">
        <v>13</v>
      </c>
      <c r="B168" s="57">
        <v>2034</v>
      </c>
      <c r="C168" s="62">
        <f>SUM('4. Metinis CAPEX'!N$9:N$21)</f>
        <v>0</v>
      </c>
      <c r="D168" s="62" cm="1">
        <f t="array" ref="D168">SUMPRODUCT('4. Metinis CAPEX'!N$9:N$21,IFERROR('2. Investicijos'!$N$5:$N$17/'2. Investicijos'!$H$5:$H$17,0))</f>
        <v>0</v>
      </c>
      <c r="E168" s="62" cm="1">
        <f t="array" ref="E168">SUMPRODUCT('4. Metinis CAPEX'!N$9:N$21,IFERROR(('2. Investicijos'!$I$5:$I$17+'2. Investicijos'!$J$5:$J$17+'2. Investicijos'!$K$5:$K$17+'2. Investicijos'!$L$5:$L$17)/'2. Investicijos'!$H$5:$H$17,0))</f>
        <v>0</v>
      </c>
      <c r="F168" s="62" cm="1">
        <f t="array" ref="F168">SUM('2. Investicijos'!$H$5:$H$17*'7. Pasirinktinis scenarijus'!$C$6)</f>
        <v>0</v>
      </c>
      <c r="G168" s="62" cm="1">
        <f t="array" ref="G168">IF(AND(2034&gt;=2026,2034&lt;2026+'7. Pasirinktinis scenarijus'!$C$5),SUM('2. Investicijos'!$H$5:$H$17*'7. Pasirinktinis scenarijus'!$C$6)/'7. Pasirinktinis scenarijus'!$C$5,0)</f>
        <v>0</v>
      </c>
      <c r="H168" s="62">
        <f t="shared" ref="H168:H199" si="68">D168-I168</f>
        <v>0</v>
      </c>
      <c r="I168" s="62">
        <f>SUM(N$5:N$17)</f>
        <v>0</v>
      </c>
      <c r="J168" s="62" t="e" cm="1">
        <f t="array" ref="J168">K168+L168+MAX(0,-R167)*IFERROR(SUMPRODUCT(IF('2. Investicijos'!$N$5:$N$17&gt;('2. Investicijos'!$H$5:$H$17*'7. Pasirinktinis scenarijus'!$C$6),'2. Investicijos'!$N$5:$N$17-('2. Investicijos'!$H$5:$H$17*'7. Pasirinktinis scenarijus'!$C$6),0),'2. Investicijos'!$O$5:$O$17/100)/SUM(IF('2. Investicijos'!$N$5:$N$17&gt;('2. Investicijos'!$H$5:$H$17*'7. Pasirinktinis scenarijus'!$C$6),'2. Investicijos'!$N$5:$N$17-('2. Investicijos'!$H$5:$H$17*'7. Pasirinktinis scenarijus'!$C$6),0)),0)</f>
        <v>#VALUE!</v>
      </c>
      <c r="K168" s="62">
        <f>SUM(AH$5:AH$17)</f>
        <v>0</v>
      </c>
      <c r="L168" s="62">
        <f>SUM(X$5:X$17)</f>
        <v>0</v>
      </c>
      <c r="M168" s="62">
        <f>SUM(AR$5:AR$17)</f>
        <v>0</v>
      </c>
      <c r="N168" s="62">
        <f>'3. Finansinės prielaidos'!K30+M168</f>
        <v>0</v>
      </c>
      <c r="O168" s="62">
        <f>'3. Finansinės prielaidos'!K31</f>
        <v>0</v>
      </c>
      <c r="P168" s="62">
        <f>'3. Finansinės prielaidos'!K32</f>
        <v>0</v>
      </c>
      <c r="Q168" s="62" t="e">
        <f t="shared" ref="Q168:Q199" si="69">S168+G168+I168+E168-C168-J168</f>
        <v>#VALUE!</v>
      </c>
      <c r="R168" s="62" t="e">
        <f>R167+('3. Finansinės prielaidos'!K31-'3. Finansinės prielaidos'!J31)+Q168</f>
        <v>#VALUE!</v>
      </c>
      <c r="S168" s="62" t="e" cm="1">
        <f t="array" ref="S168">SUMPRODUCT(--(2034&gt;'2. Investicijos'!$F$5:$F$17),--(2034&lt;='2. Investicijos'!$F$5:$F$17+'2. Investicijos'!$G$5:$G$17),IFERROR(('2. Investicijos'!$M$5:$M$17+IF('2. Investicijos'!$N$5:$N$17&gt;('2. Investicijos'!$H$5:$H$17*'7. Pasirinktinis scenarijus'!$C$6),'2. Investicijos'!$N$5:$N$17-('2. Investicijos'!$H$5:$H$17*'7. Pasirinktinis scenarijus'!$C$6),0)+('2. Investicijos'!$H$5:$H$17*'7. Pasirinktinis scenarijus'!$C$6))/'2. Investicijos'!$G$5:$G$17,0))+SUMPRODUCT(--(2034&gt;'2. Investicijos'!$F$5:$F$17),--(2034&lt;='2. Investicijos'!$F$5:$F$17+'2. Investicijos'!$G$5:$G$17),IFERROR(('2. Investicijos'!$M$5:$M$17+IF('2. Investicijos'!$N$5:$N$17&gt;('2. Investicijos'!$H$5:$H$17*'7. Pasirinktinis scenarijus'!$C$6),'2. Investicijos'!$N$5:$N$17-('2. Investicijos'!$H$5:$H$17*'7. Pasirinktinis scenarijus'!$C$6),0))*(1-((2034-'2. Investicijos'!$F$5:$F$17)-1)/'2. Investicijos'!$G$5:$G$17),0)*'5. 0% scenarijus'!$C$5)</f>
        <v>#VALUE!</v>
      </c>
      <c r="T168" s="62" t="e">
        <f>'3. Finansinės prielaidos'!K29+S168+G168</f>
        <v>#VALUE!</v>
      </c>
      <c r="U168" s="62" t="e">
        <f t="shared" ref="U168:U199" si="70">N168-R168</f>
        <v>#VALUE!</v>
      </c>
      <c r="V168" s="72" t="e">
        <f t="shared" ref="V168:V199" si="71">IF(OR(T168="",T168&lt;=0),"",U168/T168)</f>
        <v>#VALUE!</v>
      </c>
      <c r="W168" s="72" t="e">
        <f t="shared" ref="W168:W199" si="72">IF(T168&lt;=0,"",IF(P168+J168=0,999999,T168/(P168+J168)))</f>
        <v>#VALUE!</v>
      </c>
      <c r="X168" s="57" t="e">
        <f t="shared" ref="X168:X199" si="73">IF(OR(V168="",W168=""),"",IF(AND(V168&lt;=5.5,W168&gt;=1.2),"ATITINKA","NEATITINKA"))</f>
        <v>#VALUE!</v>
      </c>
      <c r="Y168" s="57" t="e">
        <f t="shared" ref="Y168:Y199" si="74">IF(X168&lt;&gt;"NEATITINKA","",IF(T168&lt;=0,"EBITDA ≤ 0",IF(AND(V168&gt;5.5,W168&lt;1.2),"Abu",IF(V168&gt;5.5,"Net Debt / EBITDA","DSCR"))))</f>
        <v>#VALUE!</v>
      </c>
      <c r="Z168" s="57"/>
      <c r="AA168" s="57"/>
      <c r="AB168" s="57"/>
      <c r="AC168" s="57"/>
      <c r="AD168" s="57"/>
      <c r="AE168" s="57"/>
      <c r="AF168" s="57"/>
      <c r="AG168" s="57"/>
      <c r="AH168" s="57"/>
      <c r="AI168" s="57"/>
      <c r="AJ168" s="57"/>
      <c r="AK168" s="57"/>
      <c r="AL168" s="57"/>
      <c r="AM168" s="57"/>
      <c r="AN168" s="57"/>
      <c r="AO168" s="57"/>
      <c r="AP168" s="57"/>
      <c r="AQ168" s="57"/>
      <c r="AR168" s="57"/>
      <c r="AS168" s="57"/>
    </row>
    <row r="169" spans="1:45">
      <c r="A169" s="57">
        <v>13</v>
      </c>
      <c r="B169" s="57">
        <v>2035</v>
      </c>
      <c r="C169" s="62">
        <f>SUM('4. Metinis CAPEX'!O$9:O$21)</f>
        <v>0</v>
      </c>
      <c r="D169" s="62" cm="1">
        <f t="array" ref="D169">SUMPRODUCT('4. Metinis CAPEX'!O$9:O$21,IFERROR('2. Investicijos'!$N$5:$N$17/'2. Investicijos'!$H$5:$H$17,0))</f>
        <v>0</v>
      </c>
      <c r="E169" s="62" cm="1">
        <f t="array" ref="E169">SUMPRODUCT('4. Metinis CAPEX'!O$9:O$21,IFERROR(('2. Investicijos'!$I$5:$I$17+'2. Investicijos'!$J$5:$J$17+'2. Investicijos'!$K$5:$K$17+'2. Investicijos'!$L$5:$L$17)/'2. Investicijos'!$H$5:$H$17,0))</f>
        <v>0</v>
      </c>
      <c r="F169" s="62" cm="1">
        <f t="array" ref="F169">SUM('2. Investicijos'!$H$5:$H$17*'7. Pasirinktinis scenarijus'!$C$6)</f>
        <v>0</v>
      </c>
      <c r="G169" s="62" cm="1">
        <f t="array" ref="G169">IF(AND(2035&gt;=2026,2035&lt;2026+'7. Pasirinktinis scenarijus'!$C$5),SUM('2. Investicijos'!$H$5:$H$17*'7. Pasirinktinis scenarijus'!$C$6)/'7. Pasirinktinis scenarijus'!$C$5,0)</f>
        <v>0</v>
      </c>
      <c r="H169" s="62">
        <f t="shared" si="68"/>
        <v>0</v>
      </c>
      <c r="I169" s="62">
        <f>SUM(O$5:O$17)</f>
        <v>0</v>
      </c>
      <c r="J169" s="62" t="e" cm="1">
        <f t="array" ref="J169">K169+L169+MAX(0,-R168)*IFERROR(SUMPRODUCT(IF('2. Investicijos'!$N$5:$N$17&gt;('2. Investicijos'!$H$5:$H$17*'7. Pasirinktinis scenarijus'!$C$6),'2. Investicijos'!$N$5:$N$17-('2. Investicijos'!$H$5:$H$17*'7. Pasirinktinis scenarijus'!$C$6),0),'2. Investicijos'!$O$5:$O$17/100)/SUM(IF('2. Investicijos'!$N$5:$N$17&gt;('2. Investicijos'!$H$5:$H$17*'7. Pasirinktinis scenarijus'!$C$6),'2. Investicijos'!$N$5:$N$17-('2. Investicijos'!$H$5:$H$17*'7. Pasirinktinis scenarijus'!$C$6),0)),0)</f>
        <v>#VALUE!</v>
      </c>
      <c r="K169" s="62">
        <f>SUM(AI$5:AI$17)</f>
        <v>0</v>
      </c>
      <c r="L169" s="62">
        <f>SUM(Y$5:Y$17)</f>
        <v>0</v>
      </c>
      <c r="M169" s="62">
        <f>SUM(AS$5:AS$17)</f>
        <v>0</v>
      </c>
      <c r="N169" s="62">
        <f>'3. Finansinės prielaidos'!L30+M169</f>
        <v>0</v>
      </c>
      <c r="O169" s="62">
        <f>'3. Finansinės prielaidos'!L31</f>
        <v>0</v>
      </c>
      <c r="P169" s="62">
        <f>'3. Finansinės prielaidos'!L32</f>
        <v>0</v>
      </c>
      <c r="Q169" s="62" t="e">
        <f t="shared" si="69"/>
        <v>#VALUE!</v>
      </c>
      <c r="R169" s="62" t="e">
        <f>R168+('3. Finansinės prielaidos'!L31-'3. Finansinės prielaidos'!K31)+Q169</f>
        <v>#VALUE!</v>
      </c>
      <c r="S169" s="62" t="e" cm="1">
        <f t="array" ref="S169">SUMPRODUCT(--(2035&gt;'2. Investicijos'!$F$5:$F$17),--(2035&lt;='2. Investicijos'!$F$5:$F$17+'2. Investicijos'!$G$5:$G$17),IFERROR(('2. Investicijos'!$M$5:$M$17+IF('2. Investicijos'!$N$5:$N$17&gt;('2. Investicijos'!$H$5:$H$17*'7. Pasirinktinis scenarijus'!$C$6),'2. Investicijos'!$N$5:$N$17-('2. Investicijos'!$H$5:$H$17*'7. Pasirinktinis scenarijus'!$C$6),0)+('2. Investicijos'!$H$5:$H$17*'7. Pasirinktinis scenarijus'!$C$6))/'2. Investicijos'!$G$5:$G$17,0))+SUMPRODUCT(--(2035&gt;'2. Investicijos'!$F$5:$F$17),--(2035&lt;='2. Investicijos'!$F$5:$F$17+'2. Investicijos'!$G$5:$G$17),IFERROR(('2. Investicijos'!$M$5:$M$17+IF('2. Investicijos'!$N$5:$N$17&gt;('2. Investicijos'!$H$5:$H$17*'7. Pasirinktinis scenarijus'!$C$6),'2. Investicijos'!$N$5:$N$17-('2. Investicijos'!$H$5:$H$17*'7. Pasirinktinis scenarijus'!$C$6),0))*(1-((2035-'2. Investicijos'!$F$5:$F$17)-1)/'2. Investicijos'!$G$5:$G$17),0)*'5. 0% scenarijus'!$C$5)</f>
        <v>#VALUE!</v>
      </c>
      <c r="T169" s="62" t="e">
        <f>'3. Finansinės prielaidos'!L29+S169+G169</f>
        <v>#VALUE!</v>
      </c>
      <c r="U169" s="62" t="e">
        <f t="shared" si="70"/>
        <v>#VALUE!</v>
      </c>
      <c r="V169" s="72" t="e">
        <f t="shared" si="71"/>
        <v>#VALUE!</v>
      </c>
      <c r="W169" s="72" t="e">
        <f t="shared" si="72"/>
        <v>#VALUE!</v>
      </c>
      <c r="X169" s="57" t="e">
        <f t="shared" si="73"/>
        <v>#VALUE!</v>
      </c>
      <c r="Y169" s="57" t="e">
        <f t="shared" si="74"/>
        <v>#VALUE!</v>
      </c>
      <c r="Z169" s="57"/>
      <c r="AA169" s="57"/>
      <c r="AB169" s="57"/>
      <c r="AC169" s="57"/>
      <c r="AD169" s="57"/>
      <c r="AE169" s="57"/>
      <c r="AF169" s="57"/>
      <c r="AG169" s="57"/>
      <c r="AH169" s="57"/>
      <c r="AI169" s="57"/>
      <c r="AJ169" s="57"/>
      <c r="AK169" s="57"/>
      <c r="AL169" s="57"/>
      <c r="AM169" s="57"/>
      <c r="AN169" s="57"/>
      <c r="AO169" s="57"/>
      <c r="AP169" s="57"/>
      <c r="AQ169" s="57"/>
      <c r="AR169" s="57"/>
      <c r="AS169" s="57"/>
    </row>
    <row r="170" spans="1:45">
      <c r="A170" s="57">
        <v>14</v>
      </c>
      <c r="B170" s="57">
        <v>2026</v>
      </c>
      <c r="C170" s="62">
        <f>SUM('4. Metinis CAPEX'!F$9:F$22)</f>
        <v>0</v>
      </c>
      <c r="D170" s="62" cm="1">
        <f t="array" ref="D170">SUMPRODUCT('4. Metinis CAPEX'!F$9:F$22,IFERROR('2. Investicijos'!$N$5:$N$18/'2. Investicijos'!$H$5:$H$18,0))</f>
        <v>0</v>
      </c>
      <c r="E170" s="62" cm="1">
        <f t="array" ref="E170">SUMPRODUCT('4. Metinis CAPEX'!F$9:F$22,IFERROR(('2. Investicijos'!$I$5:$I$18+'2. Investicijos'!$J$5:$J$18+'2. Investicijos'!$K$5:$K$18+'2. Investicijos'!$L$5:$L$18)/'2. Investicijos'!$H$5:$H$18,0))</f>
        <v>0</v>
      </c>
      <c r="F170" s="62" cm="1">
        <f t="array" ref="F170">SUM('2. Investicijos'!$H$5:$H$18*'7. Pasirinktinis scenarijus'!$C$6)</f>
        <v>0</v>
      </c>
      <c r="G170" s="62" cm="1">
        <f t="array" ref="G170">IF(AND(2026&gt;=2026,2026&lt;2026+'7. Pasirinktinis scenarijus'!$C$5),SUM('2. Investicijos'!$H$5:$H$18*'7. Pasirinktinis scenarijus'!$C$6)/'7. Pasirinktinis scenarijus'!$C$5,0)</f>
        <v>0</v>
      </c>
      <c r="H170" s="62">
        <f t="shared" si="68"/>
        <v>0</v>
      </c>
      <c r="I170" s="62">
        <f>SUM(F$5:F$18)</f>
        <v>0</v>
      </c>
      <c r="J170" s="62">
        <f>0</f>
        <v>0</v>
      </c>
      <c r="K170" s="62">
        <f>SUM(Z$5:Z$18)</f>
        <v>0</v>
      </c>
      <c r="L170" s="62">
        <f>SUM(P$5:P$18)</f>
        <v>0</v>
      </c>
      <c r="M170" s="62">
        <f>SUM(AJ$5:AJ$18)</f>
        <v>0</v>
      </c>
      <c r="N170" s="62">
        <f>'3. Finansinės prielaidos'!C30+M170</f>
        <v>0</v>
      </c>
      <c r="O170" s="62">
        <f>'3. Finansinės prielaidos'!C31</f>
        <v>0</v>
      </c>
      <c r="P170" s="62">
        <f>'3. Finansinės prielaidos'!C32</f>
        <v>0</v>
      </c>
      <c r="Q170" s="62" t="e">
        <f t="shared" si="69"/>
        <v>#VALUE!</v>
      </c>
      <c r="R170" s="62" t="e">
        <f>O170+Q170</f>
        <v>#VALUE!</v>
      </c>
      <c r="S170" s="62" t="e" cm="1">
        <f t="array" ref="S170">SUMPRODUCT(--(2026&gt;'2. Investicijos'!$F$5:$F$18),--(2026&lt;='2. Investicijos'!$F$5:$F$18+'2. Investicijos'!$G$5:$G$18),IFERROR(('2. Investicijos'!$M$5:$M$18+IF('2. Investicijos'!$N$5:$N$18&gt;('2. Investicijos'!$H$5:$H$18*'7. Pasirinktinis scenarijus'!$C$6),'2. Investicijos'!$N$5:$N$18-('2. Investicijos'!$H$5:$H$18*'7. Pasirinktinis scenarijus'!$C$6),0)+('2. Investicijos'!$H$5:$H$18*'7. Pasirinktinis scenarijus'!$C$6))/'2. Investicijos'!$G$5:$G$18,0))+SUMPRODUCT(--(2026&gt;'2. Investicijos'!$F$5:$F$18),--(2026&lt;='2. Investicijos'!$F$5:$F$18+'2. Investicijos'!$G$5:$G$18),IFERROR(('2. Investicijos'!$M$5:$M$18+IF('2. Investicijos'!$N$5:$N$18&gt;('2. Investicijos'!$H$5:$H$18*'7. Pasirinktinis scenarijus'!$C$6),'2. Investicijos'!$N$5:$N$18-('2. Investicijos'!$H$5:$H$18*'7. Pasirinktinis scenarijus'!$C$6),0))*(1-((2026-'2. Investicijos'!$F$5:$F$18)-1)/'2. Investicijos'!$G$5:$G$18),0)*'5. 0% scenarijus'!$C$5)</f>
        <v>#VALUE!</v>
      </c>
      <c r="T170" s="62" t="e">
        <f>'3. Finansinės prielaidos'!C29+S170+G170</f>
        <v>#VALUE!</v>
      </c>
      <c r="U170" s="62" t="e">
        <f t="shared" si="70"/>
        <v>#VALUE!</v>
      </c>
      <c r="V170" s="72" t="e">
        <f t="shared" si="71"/>
        <v>#VALUE!</v>
      </c>
      <c r="W170" s="72" t="e">
        <f t="shared" si="72"/>
        <v>#VALUE!</v>
      </c>
      <c r="X170" s="57" t="e">
        <f t="shared" si="73"/>
        <v>#VALUE!</v>
      </c>
      <c r="Y170" s="57" t="e">
        <f t="shared" si="74"/>
        <v>#VALUE!</v>
      </c>
      <c r="Z170" s="57"/>
      <c r="AA170" s="57"/>
      <c r="AB170" s="57"/>
      <c r="AC170" s="57"/>
      <c r="AD170" s="57"/>
      <c r="AE170" s="57"/>
      <c r="AF170" s="57"/>
      <c r="AG170" s="57"/>
      <c r="AH170" s="57"/>
      <c r="AI170" s="57"/>
      <c r="AJ170" s="57"/>
      <c r="AK170" s="57"/>
      <c r="AL170" s="57"/>
      <c r="AM170" s="57"/>
      <c r="AN170" s="57"/>
      <c r="AO170" s="57"/>
      <c r="AP170" s="57"/>
      <c r="AQ170" s="57"/>
      <c r="AR170" s="57"/>
      <c r="AS170" s="57"/>
    </row>
    <row r="171" spans="1:45">
      <c r="A171" s="57">
        <v>14</v>
      </c>
      <c r="B171" s="57">
        <v>2027</v>
      </c>
      <c r="C171" s="62">
        <f>SUM('4. Metinis CAPEX'!G$9:G$22)</f>
        <v>0</v>
      </c>
      <c r="D171" s="62" cm="1">
        <f t="array" ref="D171">SUMPRODUCT('4. Metinis CAPEX'!G$9:G$22,IFERROR('2. Investicijos'!$N$5:$N$18/'2. Investicijos'!$H$5:$H$18,0))</f>
        <v>0</v>
      </c>
      <c r="E171" s="62" cm="1">
        <f t="array" ref="E171">SUMPRODUCT('4. Metinis CAPEX'!G$9:G$22,IFERROR(('2. Investicijos'!$I$5:$I$18+'2. Investicijos'!$J$5:$J$18+'2. Investicijos'!$K$5:$K$18+'2. Investicijos'!$L$5:$L$18)/'2. Investicijos'!$H$5:$H$18,0))</f>
        <v>0</v>
      </c>
      <c r="F171" s="62" cm="1">
        <f t="array" ref="F171">SUM('2. Investicijos'!$H$5:$H$18*'7. Pasirinktinis scenarijus'!$C$6)</f>
        <v>0</v>
      </c>
      <c r="G171" s="62" cm="1">
        <f t="array" ref="G171">IF(AND(2027&gt;=2026,2027&lt;2026+'7. Pasirinktinis scenarijus'!$C$5),SUM('2. Investicijos'!$H$5:$H$18*'7. Pasirinktinis scenarijus'!$C$6)/'7. Pasirinktinis scenarijus'!$C$5,0)</f>
        <v>0</v>
      </c>
      <c r="H171" s="62">
        <f t="shared" si="68"/>
        <v>0</v>
      </c>
      <c r="I171" s="62">
        <f>SUM(G$5:G$18)</f>
        <v>0</v>
      </c>
      <c r="J171" s="62" t="e" cm="1">
        <f t="array" ref="J171">K171+L171+MAX(0,-R170)*IFERROR(SUMPRODUCT(IF('2. Investicijos'!$N$5:$N$18&gt;('2. Investicijos'!$H$5:$H$18*'7. Pasirinktinis scenarijus'!$C$6),'2. Investicijos'!$N$5:$N$18-('2. Investicijos'!$H$5:$H$18*'7. Pasirinktinis scenarijus'!$C$6),0),'2. Investicijos'!$O$5:$O$18/100)/SUM(IF('2. Investicijos'!$N$5:$N$18&gt;('2. Investicijos'!$H$5:$H$18*'7. Pasirinktinis scenarijus'!$C$6),'2. Investicijos'!$N$5:$N$18-('2. Investicijos'!$H$5:$H$18*'7. Pasirinktinis scenarijus'!$C$6),0)),0)</f>
        <v>#VALUE!</v>
      </c>
      <c r="K171" s="62">
        <f>SUM(AA$5:AA$18)</f>
        <v>0</v>
      </c>
      <c r="L171" s="62">
        <f>SUM(Q$5:Q$18)</f>
        <v>0</v>
      </c>
      <c r="M171" s="62">
        <f>SUM(AK$5:AK$18)</f>
        <v>0</v>
      </c>
      <c r="N171" s="62">
        <f>'3. Finansinės prielaidos'!D30+M171</f>
        <v>0</v>
      </c>
      <c r="O171" s="62">
        <f>'3. Finansinės prielaidos'!D31</f>
        <v>0</v>
      </c>
      <c r="P171" s="62">
        <f>'3. Finansinės prielaidos'!D32</f>
        <v>0</v>
      </c>
      <c r="Q171" s="62" t="e">
        <f t="shared" si="69"/>
        <v>#VALUE!</v>
      </c>
      <c r="R171" s="62" t="e">
        <f>R170+('3. Finansinės prielaidos'!D31-'3. Finansinės prielaidos'!C31)+Q171</f>
        <v>#VALUE!</v>
      </c>
      <c r="S171" s="62" t="e" cm="1">
        <f t="array" ref="S171">SUMPRODUCT(--(2027&gt;'2. Investicijos'!$F$5:$F$18),--(2027&lt;='2. Investicijos'!$F$5:$F$18+'2. Investicijos'!$G$5:$G$18),IFERROR(('2. Investicijos'!$M$5:$M$18+IF('2. Investicijos'!$N$5:$N$18&gt;('2. Investicijos'!$H$5:$H$18*'7. Pasirinktinis scenarijus'!$C$6),'2. Investicijos'!$N$5:$N$18-('2. Investicijos'!$H$5:$H$18*'7. Pasirinktinis scenarijus'!$C$6),0)+('2. Investicijos'!$H$5:$H$18*'7. Pasirinktinis scenarijus'!$C$6))/'2. Investicijos'!$G$5:$G$18,0))+SUMPRODUCT(--(2027&gt;'2. Investicijos'!$F$5:$F$18),--(2027&lt;='2. Investicijos'!$F$5:$F$18+'2. Investicijos'!$G$5:$G$18),IFERROR(('2. Investicijos'!$M$5:$M$18+IF('2. Investicijos'!$N$5:$N$18&gt;('2. Investicijos'!$H$5:$H$18*'7. Pasirinktinis scenarijus'!$C$6),'2. Investicijos'!$N$5:$N$18-('2. Investicijos'!$H$5:$H$18*'7. Pasirinktinis scenarijus'!$C$6),0))*(1-((2027-'2. Investicijos'!$F$5:$F$18)-1)/'2. Investicijos'!$G$5:$G$18),0)*'5. 0% scenarijus'!$C$5)</f>
        <v>#VALUE!</v>
      </c>
      <c r="T171" s="62" t="e">
        <f>'3. Finansinės prielaidos'!D29+S171+G171</f>
        <v>#VALUE!</v>
      </c>
      <c r="U171" s="62" t="e">
        <f t="shared" si="70"/>
        <v>#VALUE!</v>
      </c>
      <c r="V171" s="72" t="e">
        <f t="shared" si="71"/>
        <v>#VALUE!</v>
      </c>
      <c r="W171" s="72" t="e">
        <f t="shared" si="72"/>
        <v>#VALUE!</v>
      </c>
      <c r="X171" s="57" t="e">
        <f t="shared" si="73"/>
        <v>#VALUE!</v>
      </c>
      <c r="Y171" s="57" t="e">
        <f t="shared" si="74"/>
        <v>#VALUE!</v>
      </c>
      <c r="Z171" s="57"/>
      <c r="AA171" s="57"/>
      <c r="AB171" s="57"/>
      <c r="AC171" s="57"/>
      <c r="AD171" s="57"/>
      <c r="AE171" s="57"/>
      <c r="AF171" s="57"/>
      <c r="AG171" s="57"/>
      <c r="AH171" s="57"/>
      <c r="AI171" s="57"/>
      <c r="AJ171" s="57"/>
      <c r="AK171" s="57"/>
      <c r="AL171" s="57"/>
      <c r="AM171" s="57"/>
      <c r="AN171" s="57"/>
      <c r="AO171" s="57"/>
      <c r="AP171" s="57"/>
      <c r="AQ171" s="57"/>
      <c r="AR171" s="57"/>
      <c r="AS171" s="57"/>
    </row>
    <row r="172" spans="1:45">
      <c r="A172" s="57">
        <v>14</v>
      </c>
      <c r="B172" s="57">
        <v>2028</v>
      </c>
      <c r="C172" s="62">
        <f>SUM('4. Metinis CAPEX'!H$9:H$22)</f>
        <v>0</v>
      </c>
      <c r="D172" s="62" cm="1">
        <f t="array" ref="D172">SUMPRODUCT('4. Metinis CAPEX'!H$9:H$22,IFERROR('2. Investicijos'!$N$5:$N$18/'2. Investicijos'!$H$5:$H$18,0))</f>
        <v>0</v>
      </c>
      <c r="E172" s="62" cm="1">
        <f t="array" ref="E172">SUMPRODUCT('4. Metinis CAPEX'!H$9:H$22,IFERROR(('2. Investicijos'!$I$5:$I$18+'2. Investicijos'!$J$5:$J$18+'2. Investicijos'!$K$5:$K$18+'2. Investicijos'!$L$5:$L$18)/'2. Investicijos'!$H$5:$H$18,0))</f>
        <v>0</v>
      </c>
      <c r="F172" s="62" cm="1">
        <f t="array" ref="F172">SUM('2. Investicijos'!$H$5:$H$18*'7. Pasirinktinis scenarijus'!$C$6)</f>
        <v>0</v>
      </c>
      <c r="G172" s="62" cm="1">
        <f t="array" ref="G172">IF(AND(2028&gt;=2026,2028&lt;2026+'7. Pasirinktinis scenarijus'!$C$5),SUM('2. Investicijos'!$H$5:$H$18*'7. Pasirinktinis scenarijus'!$C$6)/'7. Pasirinktinis scenarijus'!$C$5,0)</f>
        <v>0</v>
      </c>
      <c r="H172" s="62">
        <f t="shared" si="68"/>
        <v>0</v>
      </c>
      <c r="I172" s="62">
        <f>SUM(H$5:H$18)</f>
        <v>0</v>
      </c>
      <c r="J172" s="62" t="e" cm="1">
        <f t="array" ref="J172">K172+L172+MAX(0,-R171)*IFERROR(SUMPRODUCT(IF('2. Investicijos'!$N$5:$N$18&gt;('2. Investicijos'!$H$5:$H$18*'7. Pasirinktinis scenarijus'!$C$6),'2. Investicijos'!$N$5:$N$18-('2. Investicijos'!$H$5:$H$18*'7. Pasirinktinis scenarijus'!$C$6),0),'2. Investicijos'!$O$5:$O$18/100)/SUM(IF('2. Investicijos'!$N$5:$N$18&gt;('2. Investicijos'!$H$5:$H$18*'7. Pasirinktinis scenarijus'!$C$6),'2. Investicijos'!$N$5:$N$18-('2. Investicijos'!$H$5:$H$18*'7. Pasirinktinis scenarijus'!$C$6),0)),0)</f>
        <v>#VALUE!</v>
      </c>
      <c r="K172" s="62">
        <f>SUM(AB$5:AB$18)</f>
        <v>0</v>
      </c>
      <c r="L172" s="62">
        <f>SUM(R$5:R$18)</f>
        <v>0</v>
      </c>
      <c r="M172" s="62">
        <f>SUM(AL$5:AL$18)</f>
        <v>0</v>
      </c>
      <c r="N172" s="62">
        <f>'3. Finansinės prielaidos'!E30+M172</f>
        <v>0</v>
      </c>
      <c r="O172" s="62">
        <f>'3. Finansinės prielaidos'!E31</f>
        <v>0</v>
      </c>
      <c r="P172" s="62">
        <f>'3. Finansinės prielaidos'!E32</f>
        <v>0</v>
      </c>
      <c r="Q172" s="62" t="e">
        <f t="shared" si="69"/>
        <v>#VALUE!</v>
      </c>
      <c r="R172" s="62" t="e">
        <f>R171+('3. Finansinės prielaidos'!E31-'3. Finansinės prielaidos'!D31)+Q172</f>
        <v>#VALUE!</v>
      </c>
      <c r="S172" s="62" t="e" cm="1">
        <f t="array" ref="S172">SUMPRODUCT(--(2028&gt;'2. Investicijos'!$F$5:$F$18),--(2028&lt;='2. Investicijos'!$F$5:$F$18+'2. Investicijos'!$G$5:$G$18),IFERROR(('2. Investicijos'!$M$5:$M$18+IF('2. Investicijos'!$N$5:$N$18&gt;('2. Investicijos'!$H$5:$H$18*'7. Pasirinktinis scenarijus'!$C$6),'2. Investicijos'!$N$5:$N$18-('2. Investicijos'!$H$5:$H$18*'7. Pasirinktinis scenarijus'!$C$6),0)+('2. Investicijos'!$H$5:$H$18*'7. Pasirinktinis scenarijus'!$C$6))/'2. Investicijos'!$G$5:$G$18,0))+SUMPRODUCT(--(2028&gt;'2. Investicijos'!$F$5:$F$18),--(2028&lt;='2. Investicijos'!$F$5:$F$18+'2. Investicijos'!$G$5:$G$18),IFERROR(('2. Investicijos'!$M$5:$M$18+IF('2. Investicijos'!$N$5:$N$18&gt;('2. Investicijos'!$H$5:$H$18*'7. Pasirinktinis scenarijus'!$C$6),'2. Investicijos'!$N$5:$N$18-('2. Investicijos'!$H$5:$H$18*'7. Pasirinktinis scenarijus'!$C$6),0))*(1-((2028-'2. Investicijos'!$F$5:$F$18)-1)/'2. Investicijos'!$G$5:$G$18),0)*'5. 0% scenarijus'!$C$5)</f>
        <v>#VALUE!</v>
      </c>
      <c r="T172" s="62" t="e">
        <f>'3. Finansinės prielaidos'!E29+S172+G172</f>
        <v>#VALUE!</v>
      </c>
      <c r="U172" s="62" t="e">
        <f t="shared" si="70"/>
        <v>#VALUE!</v>
      </c>
      <c r="V172" s="72" t="e">
        <f t="shared" si="71"/>
        <v>#VALUE!</v>
      </c>
      <c r="W172" s="72" t="e">
        <f t="shared" si="72"/>
        <v>#VALUE!</v>
      </c>
      <c r="X172" s="57" t="e">
        <f t="shared" si="73"/>
        <v>#VALUE!</v>
      </c>
      <c r="Y172" s="57" t="e">
        <f t="shared" si="74"/>
        <v>#VALUE!</v>
      </c>
      <c r="Z172" s="57"/>
      <c r="AA172" s="57"/>
      <c r="AB172" s="57"/>
      <c r="AC172" s="57"/>
      <c r="AD172" s="57"/>
      <c r="AE172" s="57"/>
      <c r="AF172" s="57"/>
      <c r="AG172" s="57"/>
      <c r="AH172" s="57"/>
      <c r="AI172" s="57"/>
      <c r="AJ172" s="57"/>
      <c r="AK172" s="57"/>
      <c r="AL172" s="57"/>
      <c r="AM172" s="57"/>
      <c r="AN172" s="57"/>
      <c r="AO172" s="57"/>
      <c r="AP172" s="57"/>
      <c r="AQ172" s="57"/>
      <c r="AR172" s="57"/>
      <c r="AS172" s="57"/>
    </row>
    <row r="173" spans="1:45">
      <c r="A173" s="57">
        <v>14</v>
      </c>
      <c r="B173" s="57">
        <v>2029</v>
      </c>
      <c r="C173" s="62">
        <f>SUM('4. Metinis CAPEX'!I$9:I$22)</f>
        <v>0</v>
      </c>
      <c r="D173" s="62" cm="1">
        <f t="array" ref="D173">SUMPRODUCT('4. Metinis CAPEX'!I$9:I$22,IFERROR('2. Investicijos'!$N$5:$N$18/'2. Investicijos'!$H$5:$H$18,0))</f>
        <v>0</v>
      </c>
      <c r="E173" s="62" cm="1">
        <f t="array" ref="E173">SUMPRODUCT('4. Metinis CAPEX'!I$9:I$22,IFERROR(('2. Investicijos'!$I$5:$I$18+'2. Investicijos'!$J$5:$J$18+'2. Investicijos'!$K$5:$K$18+'2. Investicijos'!$L$5:$L$18)/'2. Investicijos'!$H$5:$H$18,0))</f>
        <v>0</v>
      </c>
      <c r="F173" s="62" cm="1">
        <f t="array" ref="F173">SUM('2. Investicijos'!$H$5:$H$18*'7. Pasirinktinis scenarijus'!$C$6)</f>
        <v>0</v>
      </c>
      <c r="G173" s="62" cm="1">
        <f t="array" ref="G173">IF(AND(2029&gt;=2026,2029&lt;2026+'7. Pasirinktinis scenarijus'!$C$5),SUM('2. Investicijos'!$H$5:$H$18*'7. Pasirinktinis scenarijus'!$C$6)/'7. Pasirinktinis scenarijus'!$C$5,0)</f>
        <v>0</v>
      </c>
      <c r="H173" s="62">
        <f t="shared" si="68"/>
        <v>0</v>
      </c>
      <c r="I173" s="62">
        <f>SUM(I$5:I$18)</f>
        <v>0</v>
      </c>
      <c r="J173" s="62" t="e" cm="1">
        <f t="array" ref="J173">K173+L173+MAX(0,-R172)*IFERROR(SUMPRODUCT(IF('2. Investicijos'!$N$5:$N$18&gt;('2. Investicijos'!$H$5:$H$18*'7. Pasirinktinis scenarijus'!$C$6),'2. Investicijos'!$N$5:$N$18-('2. Investicijos'!$H$5:$H$18*'7. Pasirinktinis scenarijus'!$C$6),0),'2. Investicijos'!$O$5:$O$18/100)/SUM(IF('2. Investicijos'!$N$5:$N$18&gt;('2. Investicijos'!$H$5:$H$18*'7. Pasirinktinis scenarijus'!$C$6),'2. Investicijos'!$N$5:$N$18-('2. Investicijos'!$H$5:$H$18*'7. Pasirinktinis scenarijus'!$C$6),0)),0)</f>
        <v>#VALUE!</v>
      </c>
      <c r="K173" s="62">
        <f>SUM(AC$5:AC$18)</f>
        <v>0</v>
      </c>
      <c r="L173" s="62">
        <f>SUM(S$5:S$18)</f>
        <v>0</v>
      </c>
      <c r="M173" s="62">
        <f>SUM(AM$5:AM$18)</f>
        <v>0</v>
      </c>
      <c r="N173" s="62">
        <f>'3. Finansinės prielaidos'!F30+M173</f>
        <v>0</v>
      </c>
      <c r="O173" s="62">
        <f>'3. Finansinės prielaidos'!F31</f>
        <v>0</v>
      </c>
      <c r="P173" s="62">
        <f>'3. Finansinės prielaidos'!F32</f>
        <v>0</v>
      </c>
      <c r="Q173" s="62" t="e">
        <f t="shared" si="69"/>
        <v>#VALUE!</v>
      </c>
      <c r="R173" s="62" t="e">
        <f>R172+('3. Finansinės prielaidos'!F31-'3. Finansinės prielaidos'!E31)+Q173</f>
        <v>#VALUE!</v>
      </c>
      <c r="S173" s="62" t="e" cm="1">
        <f t="array" ref="S173">SUMPRODUCT(--(2029&gt;'2. Investicijos'!$F$5:$F$18),--(2029&lt;='2. Investicijos'!$F$5:$F$18+'2. Investicijos'!$G$5:$G$18),IFERROR(('2. Investicijos'!$M$5:$M$18+IF('2. Investicijos'!$N$5:$N$18&gt;('2. Investicijos'!$H$5:$H$18*'7. Pasirinktinis scenarijus'!$C$6),'2. Investicijos'!$N$5:$N$18-('2. Investicijos'!$H$5:$H$18*'7. Pasirinktinis scenarijus'!$C$6),0)+('2. Investicijos'!$H$5:$H$18*'7. Pasirinktinis scenarijus'!$C$6))/'2. Investicijos'!$G$5:$G$18,0))+SUMPRODUCT(--(2029&gt;'2. Investicijos'!$F$5:$F$18),--(2029&lt;='2. Investicijos'!$F$5:$F$18+'2. Investicijos'!$G$5:$G$18),IFERROR(('2. Investicijos'!$M$5:$M$18+IF('2. Investicijos'!$N$5:$N$18&gt;('2. Investicijos'!$H$5:$H$18*'7. Pasirinktinis scenarijus'!$C$6),'2. Investicijos'!$N$5:$N$18-('2. Investicijos'!$H$5:$H$18*'7. Pasirinktinis scenarijus'!$C$6),0))*(1-((2029-'2. Investicijos'!$F$5:$F$18)-1)/'2. Investicijos'!$G$5:$G$18),0)*'5. 0% scenarijus'!$C$5)</f>
        <v>#VALUE!</v>
      </c>
      <c r="T173" s="62" t="e">
        <f>'3. Finansinės prielaidos'!F29+S173+G173</f>
        <v>#VALUE!</v>
      </c>
      <c r="U173" s="62" t="e">
        <f t="shared" si="70"/>
        <v>#VALUE!</v>
      </c>
      <c r="V173" s="72" t="e">
        <f t="shared" si="71"/>
        <v>#VALUE!</v>
      </c>
      <c r="W173" s="72" t="e">
        <f t="shared" si="72"/>
        <v>#VALUE!</v>
      </c>
      <c r="X173" s="57" t="e">
        <f t="shared" si="73"/>
        <v>#VALUE!</v>
      </c>
      <c r="Y173" s="57" t="e">
        <f t="shared" si="74"/>
        <v>#VALUE!</v>
      </c>
      <c r="Z173" s="57"/>
      <c r="AA173" s="57"/>
      <c r="AB173" s="57"/>
      <c r="AC173" s="57"/>
      <c r="AD173" s="57"/>
      <c r="AE173" s="57"/>
      <c r="AF173" s="57"/>
      <c r="AG173" s="57"/>
      <c r="AH173" s="57"/>
      <c r="AI173" s="57"/>
      <c r="AJ173" s="57"/>
      <c r="AK173" s="57"/>
      <c r="AL173" s="57"/>
      <c r="AM173" s="57"/>
      <c r="AN173" s="57"/>
      <c r="AO173" s="57"/>
      <c r="AP173" s="57"/>
      <c r="AQ173" s="57"/>
      <c r="AR173" s="57"/>
      <c r="AS173" s="57"/>
    </row>
    <row r="174" spans="1:45">
      <c r="A174" s="57">
        <v>14</v>
      </c>
      <c r="B174" s="57">
        <v>2030</v>
      </c>
      <c r="C174" s="62">
        <f>SUM('4. Metinis CAPEX'!J$9:J$22)</f>
        <v>0</v>
      </c>
      <c r="D174" s="62" cm="1">
        <f t="array" ref="D174">SUMPRODUCT('4. Metinis CAPEX'!J$9:J$22,IFERROR('2. Investicijos'!$N$5:$N$18/'2. Investicijos'!$H$5:$H$18,0))</f>
        <v>0</v>
      </c>
      <c r="E174" s="62" cm="1">
        <f t="array" ref="E174">SUMPRODUCT('4. Metinis CAPEX'!J$9:J$22,IFERROR(('2. Investicijos'!$I$5:$I$18+'2. Investicijos'!$J$5:$J$18+'2. Investicijos'!$K$5:$K$18+'2. Investicijos'!$L$5:$L$18)/'2. Investicijos'!$H$5:$H$18,0))</f>
        <v>0</v>
      </c>
      <c r="F174" s="62" cm="1">
        <f t="array" ref="F174">SUM('2. Investicijos'!$H$5:$H$18*'7. Pasirinktinis scenarijus'!$C$6)</f>
        <v>0</v>
      </c>
      <c r="G174" s="62" cm="1">
        <f t="array" ref="G174">IF(AND(2030&gt;=2026,2030&lt;2026+'7. Pasirinktinis scenarijus'!$C$5),SUM('2. Investicijos'!$H$5:$H$18*'7. Pasirinktinis scenarijus'!$C$6)/'7. Pasirinktinis scenarijus'!$C$5,0)</f>
        <v>0</v>
      </c>
      <c r="H174" s="62">
        <f t="shared" si="68"/>
        <v>0</v>
      </c>
      <c r="I174" s="62">
        <f>SUM(J$5:J$18)</f>
        <v>0</v>
      </c>
      <c r="J174" s="62" t="e" cm="1">
        <f t="array" ref="J174">K174+L174+MAX(0,-R173)*IFERROR(SUMPRODUCT(IF('2. Investicijos'!$N$5:$N$18&gt;('2. Investicijos'!$H$5:$H$18*'7. Pasirinktinis scenarijus'!$C$6),'2. Investicijos'!$N$5:$N$18-('2. Investicijos'!$H$5:$H$18*'7. Pasirinktinis scenarijus'!$C$6),0),'2. Investicijos'!$O$5:$O$18/100)/SUM(IF('2. Investicijos'!$N$5:$N$18&gt;('2. Investicijos'!$H$5:$H$18*'7. Pasirinktinis scenarijus'!$C$6),'2. Investicijos'!$N$5:$N$18-('2. Investicijos'!$H$5:$H$18*'7. Pasirinktinis scenarijus'!$C$6),0)),0)</f>
        <v>#VALUE!</v>
      </c>
      <c r="K174" s="62">
        <f>SUM(AD$5:AD$18)</f>
        <v>0</v>
      </c>
      <c r="L174" s="62">
        <f>SUM(T$5:T$18)</f>
        <v>0</v>
      </c>
      <c r="M174" s="62">
        <f>SUM(AN$5:AN$18)</f>
        <v>0</v>
      </c>
      <c r="N174" s="62">
        <f>'3. Finansinės prielaidos'!G30+M174</f>
        <v>0</v>
      </c>
      <c r="O174" s="62">
        <f>'3. Finansinės prielaidos'!G31</f>
        <v>0</v>
      </c>
      <c r="P174" s="62">
        <f>'3. Finansinės prielaidos'!G32</f>
        <v>0</v>
      </c>
      <c r="Q174" s="62" t="e">
        <f t="shared" si="69"/>
        <v>#VALUE!</v>
      </c>
      <c r="R174" s="62" t="e">
        <f>R173+('3. Finansinės prielaidos'!G31-'3. Finansinės prielaidos'!F31)+Q174</f>
        <v>#VALUE!</v>
      </c>
      <c r="S174" s="62" t="e" cm="1">
        <f t="array" ref="S174">SUMPRODUCT(--(2030&gt;'2. Investicijos'!$F$5:$F$18),--(2030&lt;='2. Investicijos'!$F$5:$F$18+'2. Investicijos'!$G$5:$G$18),IFERROR(('2. Investicijos'!$M$5:$M$18+IF('2. Investicijos'!$N$5:$N$18&gt;('2. Investicijos'!$H$5:$H$18*'7. Pasirinktinis scenarijus'!$C$6),'2. Investicijos'!$N$5:$N$18-('2. Investicijos'!$H$5:$H$18*'7. Pasirinktinis scenarijus'!$C$6),0)+('2. Investicijos'!$H$5:$H$18*'7. Pasirinktinis scenarijus'!$C$6))/'2. Investicijos'!$G$5:$G$18,0))+SUMPRODUCT(--(2030&gt;'2. Investicijos'!$F$5:$F$18),--(2030&lt;='2. Investicijos'!$F$5:$F$18+'2. Investicijos'!$G$5:$G$18),IFERROR(('2. Investicijos'!$M$5:$M$18+IF('2. Investicijos'!$N$5:$N$18&gt;('2. Investicijos'!$H$5:$H$18*'7. Pasirinktinis scenarijus'!$C$6),'2. Investicijos'!$N$5:$N$18-('2. Investicijos'!$H$5:$H$18*'7. Pasirinktinis scenarijus'!$C$6),0))*(1-((2030-'2. Investicijos'!$F$5:$F$18)-1)/'2. Investicijos'!$G$5:$G$18),0)*'5. 0% scenarijus'!$C$5)</f>
        <v>#VALUE!</v>
      </c>
      <c r="T174" s="62" t="e">
        <f>'3. Finansinės prielaidos'!G29+S174+G174</f>
        <v>#VALUE!</v>
      </c>
      <c r="U174" s="62" t="e">
        <f t="shared" si="70"/>
        <v>#VALUE!</v>
      </c>
      <c r="V174" s="72" t="e">
        <f t="shared" si="71"/>
        <v>#VALUE!</v>
      </c>
      <c r="W174" s="72" t="e">
        <f t="shared" si="72"/>
        <v>#VALUE!</v>
      </c>
      <c r="X174" s="57" t="e">
        <f t="shared" si="73"/>
        <v>#VALUE!</v>
      </c>
      <c r="Y174" s="57" t="e">
        <f t="shared" si="74"/>
        <v>#VALUE!</v>
      </c>
      <c r="Z174" s="57"/>
      <c r="AA174" s="57"/>
      <c r="AB174" s="57"/>
      <c r="AC174" s="57"/>
      <c r="AD174" s="57"/>
      <c r="AE174" s="57"/>
      <c r="AF174" s="57"/>
      <c r="AG174" s="57"/>
      <c r="AH174" s="57"/>
      <c r="AI174" s="57"/>
      <c r="AJ174" s="57"/>
      <c r="AK174" s="57"/>
      <c r="AL174" s="57"/>
      <c r="AM174" s="57"/>
      <c r="AN174" s="57"/>
      <c r="AO174" s="57"/>
      <c r="AP174" s="57"/>
      <c r="AQ174" s="57"/>
      <c r="AR174" s="57"/>
      <c r="AS174" s="57"/>
    </row>
    <row r="175" spans="1:45">
      <c r="A175" s="57">
        <v>14</v>
      </c>
      <c r="B175" s="57">
        <v>2031</v>
      </c>
      <c r="C175" s="62">
        <f>SUM('4. Metinis CAPEX'!K$9:K$22)</f>
        <v>0</v>
      </c>
      <c r="D175" s="62" cm="1">
        <f t="array" ref="D175">SUMPRODUCT('4. Metinis CAPEX'!K$9:K$22,IFERROR('2. Investicijos'!$N$5:$N$18/'2. Investicijos'!$H$5:$H$18,0))</f>
        <v>0</v>
      </c>
      <c r="E175" s="62" cm="1">
        <f t="array" ref="E175">SUMPRODUCT('4. Metinis CAPEX'!K$9:K$22,IFERROR(('2. Investicijos'!$I$5:$I$18+'2. Investicijos'!$J$5:$J$18+'2. Investicijos'!$K$5:$K$18+'2. Investicijos'!$L$5:$L$18)/'2. Investicijos'!$H$5:$H$18,0))</f>
        <v>0</v>
      </c>
      <c r="F175" s="62" cm="1">
        <f t="array" ref="F175">SUM('2. Investicijos'!$H$5:$H$18*'7. Pasirinktinis scenarijus'!$C$6)</f>
        <v>0</v>
      </c>
      <c r="G175" s="62" cm="1">
        <f t="array" ref="G175">IF(AND(2031&gt;=2026,2031&lt;2026+'7. Pasirinktinis scenarijus'!$C$5),SUM('2. Investicijos'!$H$5:$H$18*'7. Pasirinktinis scenarijus'!$C$6)/'7. Pasirinktinis scenarijus'!$C$5,0)</f>
        <v>0</v>
      </c>
      <c r="H175" s="62">
        <f t="shared" si="68"/>
        <v>0</v>
      </c>
      <c r="I175" s="62">
        <f>SUM(K$5:K$18)</f>
        <v>0</v>
      </c>
      <c r="J175" s="62" t="e" cm="1">
        <f t="array" ref="J175">K175+L175+MAX(0,-R174)*IFERROR(SUMPRODUCT(IF('2. Investicijos'!$N$5:$N$18&gt;('2. Investicijos'!$H$5:$H$18*'7. Pasirinktinis scenarijus'!$C$6),'2. Investicijos'!$N$5:$N$18-('2. Investicijos'!$H$5:$H$18*'7. Pasirinktinis scenarijus'!$C$6),0),'2. Investicijos'!$O$5:$O$18/100)/SUM(IF('2. Investicijos'!$N$5:$N$18&gt;('2. Investicijos'!$H$5:$H$18*'7. Pasirinktinis scenarijus'!$C$6),'2. Investicijos'!$N$5:$N$18-('2. Investicijos'!$H$5:$H$18*'7. Pasirinktinis scenarijus'!$C$6),0)),0)</f>
        <v>#VALUE!</v>
      </c>
      <c r="K175" s="62">
        <f>SUM(AE$5:AE$18)</f>
        <v>0</v>
      </c>
      <c r="L175" s="62">
        <f>SUM(U$5:U$18)</f>
        <v>0</v>
      </c>
      <c r="M175" s="62">
        <f>SUM(AO$5:AO$18)</f>
        <v>0</v>
      </c>
      <c r="N175" s="62">
        <f>'3. Finansinės prielaidos'!H30+M175</f>
        <v>0</v>
      </c>
      <c r="O175" s="62">
        <f>'3. Finansinės prielaidos'!H31</f>
        <v>0</v>
      </c>
      <c r="P175" s="62">
        <f>'3. Finansinės prielaidos'!H32</f>
        <v>0</v>
      </c>
      <c r="Q175" s="62" t="e">
        <f t="shared" si="69"/>
        <v>#VALUE!</v>
      </c>
      <c r="R175" s="62" t="e">
        <f>R174+('3. Finansinės prielaidos'!H31-'3. Finansinės prielaidos'!G31)+Q175</f>
        <v>#VALUE!</v>
      </c>
      <c r="S175" s="62" t="e" cm="1">
        <f t="array" ref="S175">SUMPRODUCT(--(2031&gt;'2. Investicijos'!$F$5:$F$18),--(2031&lt;='2. Investicijos'!$F$5:$F$18+'2. Investicijos'!$G$5:$G$18),IFERROR(('2. Investicijos'!$M$5:$M$18+IF('2. Investicijos'!$N$5:$N$18&gt;('2. Investicijos'!$H$5:$H$18*'7. Pasirinktinis scenarijus'!$C$6),'2. Investicijos'!$N$5:$N$18-('2. Investicijos'!$H$5:$H$18*'7. Pasirinktinis scenarijus'!$C$6),0)+('2. Investicijos'!$H$5:$H$18*'7. Pasirinktinis scenarijus'!$C$6))/'2. Investicijos'!$G$5:$G$18,0))+SUMPRODUCT(--(2031&gt;'2. Investicijos'!$F$5:$F$18),--(2031&lt;='2. Investicijos'!$F$5:$F$18+'2. Investicijos'!$G$5:$G$18),IFERROR(('2. Investicijos'!$M$5:$M$18+IF('2. Investicijos'!$N$5:$N$18&gt;('2. Investicijos'!$H$5:$H$18*'7. Pasirinktinis scenarijus'!$C$6),'2. Investicijos'!$N$5:$N$18-('2. Investicijos'!$H$5:$H$18*'7. Pasirinktinis scenarijus'!$C$6),0))*(1-((2031-'2. Investicijos'!$F$5:$F$18)-1)/'2. Investicijos'!$G$5:$G$18),0)*'5. 0% scenarijus'!$C$5)</f>
        <v>#VALUE!</v>
      </c>
      <c r="T175" s="62" t="e">
        <f>'3. Finansinės prielaidos'!H29+S175+G175</f>
        <v>#VALUE!</v>
      </c>
      <c r="U175" s="62" t="e">
        <f t="shared" si="70"/>
        <v>#VALUE!</v>
      </c>
      <c r="V175" s="72" t="e">
        <f t="shared" si="71"/>
        <v>#VALUE!</v>
      </c>
      <c r="W175" s="72" t="e">
        <f t="shared" si="72"/>
        <v>#VALUE!</v>
      </c>
      <c r="X175" s="57" t="e">
        <f t="shared" si="73"/>
        <v>#VALUE!</v>
      </c>
      <c r="Y175" s="57" t="e">
        <f t="shared" si="74"/>
        <v>#VALUE!</v>
      </c>
      <c r="Z175" s="57"/>
      <c r="AA175" s="57"/>
      <c r="AB175" s="57"/>
      <c r="AC175" s="57"/>
      <c r="AD175" s="57"/>
      <c r="AE175" s="57"/>
      <c r="AF175" s="57"/>
      <c r="AG175" s="57"/>
      <c r="AH175" s="57"/>
      <c r="AI175" s="57"/>
      <c r="AJ175" s="57"/>
      <c r="AK175" s="57"/>
      <c r="AL175" s="57"/>
      <c r="AM175" s="57"/>
      <c r="AN175" s="57"/>
      <c r="AO175" s="57"/>
      <c r="AP175" s="57"/>
      <c r="AQ175" s="57"/>
      <c r="AR175" s="57"/>
      <c r="AS175" s="57"/>
    </row>
    <row r="176" spans="1:45">
      <c r="A176" s="57">
        <v>14</v>
      </c>
      <c r="B176" s="57">
        <v>2032</v>
      </c>
      <c r="C176" s="62">
        <f>SUM('4. Metinis CAPEX'!L$9:L$22)</f>
        <v>0</v>
      </c>
      <c r="D176" s="62" cm="1">
        <f t="array" ref="D176">SUMPRODUCT('4. Metinis CAPEX'!L$9:L$22,IFERROR('2. Investicijos'!$N$5:$N$18/'2. Investicijos'!$H$5:$H$18,0))</f>
        <v>0</v>
      </c>
      <c r="E176" s="62" cm="1">
        <f t="array" ref="E176">SUMPRODUCT('4. Metinis CAPEX'!L$9:L$22,IFERROR(('2. Investicijos'!$I$5:$I$18+'2. Investicijos'!$J$5:$J$18+'2. Investicijos'!$K$5:$K$18+'2. Investicijos'!$L$5:$L$18)/'2. Investicijos'!$H$5:$H$18,0))</f>
        <v>0</v>
      </c>
      <c r="F176" s="62" cm="1">
        <f t="array" ref="F176">SUM('2. Investicijos'!$H$5:$H$18*'7. Pasirinktinis scenarijus'!$C$6)</f>
        <v>0</v>
      </c>
      <c r="G176" s="62" cm="1">
        <f t="array" ref="G176">IF(AND(2032&gt;=2026,2032&lt;2026+'7. Pasirinktinis scenarijus'!$C$5),SUM('2. Investicijos'!$H$5:$H$18*'7. Pasirinktinis scenarijus'!$C$6)/'7. Pasirinktinis scenarijus'!$C$5,0)</f>
        <v>0</v>
      </c>
      <c r="H176" s="62">
        <f t="shared" si="68"/>
        <v>0</v>
      </c>
      <c r="I176" s="62">
        <f>SUM(L$5:L$18)</f>
        <v>0</v>
      </c>
      <c r="J176" s="62" t="e" cm="1">
        <f t="array" ref="J176">K176+L176+MAX(0,-R175)*IFERROR(SUMPRODUCT(IF('2. Investicijos'!$N$5:$N$18&gt;('2. Investicijos'!$H$5:$H$18*'7. Pasirinktinis scenarijus'!$C$6),'2. Investicijos'!$N$5:$N$18-('2. Investicijos'!$H$5:$H$18*'7. Pasirinktinis scenarijus'!$C$6),0),'2. Investicijos'!$O$5:$O$18/100)/SUM(IF('2. Investicijos'!$N$5:$N$18&gt;('2. Investicijos'!$H$5:$H$18*'7. Pasirinktinis scenarijus'!$C$6),'2. Investicijos'!$N$5:$N$18-('2. Investicijos'!$H$5:$H$18*'7. Pasirinktinis scenarijus'!$C$6),0)),0)</f>
        <v>#VALUE!</v>
      </c>
      <c r="K176" s="62">
        <f>SUM(AF$5:AF$18)</f>
        <v>0</v>
      </c>
      <c r="L176" s="62">
        <f>SUM(V$5:V$18)</f>
        <v>0</v>
      </c>
      <c r="M176" s="62">
        <f>SUM(AP$5:AP$18)</f>
        <v>0</v>
      </c>
      <c r="N176" s="62">
        <f>'3. Finansinės prielaidos'!I30+M176</f>
        <v>0</v>
      </c>
      <c r="O176" s="62">
        <f>'3. Finansinės prielaidos'!I31</f>
        <v>0</v>
      </c>
      <c r="P176" s="62">
        <f>'3. Finansinės prielaidos'!I32</f>
        <v>0</v>
      </c>
      <c r="Q176" s="62" t="e">
        <f t="shared" si="69"/>
        <v>#VALUE!</v>
      </c>
      <c r="R176" s="62" t="e">
        <f>R175+('3. Finansinės prielaidos'!I31-'3. Finansinės prielaidos'!H31)+Q176</f>
        <v>#VALUE!</v>
      </c>
      <c r="S176" s="62" t="e" cm="1">
        <f t="array" ref="S176">SUMPRODUCT(--(2032&gt;'2. Investicijos'!$F$5:$F$18),--(2032&lt;='2. Investicijos'!$F$5:$F$18+'2. Investicijos'!$G$5:$G$18),IFERROR(('2. Investicijos'!$M$5:$M$18+IF('2. Investicijos'!$N$5:$N$18&gt;('2. Investicijos'!$H$5:$H$18*'7. Pasirinktinis scenarijus'!$C$6),'2. Investicijos'!$N$5:$N$18-('2. Investicijos'!$H$5:$H$18*'7. Pasirinktinis scenarijus'!$C$6),0)+('2. Investicijos'!$H$5:$H$18*'7. Pasirinktinis scenarijus'!$C$6))/'2. Investicijos'!$G$5:$G$18,0))+SUMPRODUCT(--(2032&gt;'2. Investicijos'!$F$5:$F$18),--(2032&lt;='2. Investicijos'!$F$5:$F$18+'2. Investicijos'!$G$5:$G$18),IFERROR(('2. Investicijos'!$M$5:$M$18+IF('2. Investicijos'!$N$5:$N$18&gt;('2. Investicijos'!$H$5:$H$18*'7. Pasirinktinis scenarijus'!$C$6),'2. Investicijos'!$N$5:$N$18-('2. Investicijos'!$H$5:$H$18*'7. Pasirinktinis scenarijus'!$C$6),0))*(1-((2032-'2. Investicijos'!$F$5:$F$18)-1)/'2. Investicijos'!$G$5:$G$18),0)*'5. 0% scenarijus'!$C$5)</f>
        <v>#VALUE!</v>
      </c>
      <c r="T176" s="62" t="e">
        <f>'3. Finansinės prielaidos'!I29+S176+G176</f>
        <v>#VALUE!</v>
      </c>
      <c r="U176" s="62" t="e">
        <f t="shared" si="70"/>
        <v>#VALUE!</v>
      </c>
      <c r="V176" s="72" t="e">
        <f t="shared" si="71"/>
        <v>#VALUE!</v>
      </c>
      <c r="W176" s="72" t="e">
        <f t="shared" si="72"/>
        <v>#VALUE!</v>
      </c>
      <c r="X176" s="57" t="e">
        <f t="shared" si="73"/>
        <v>#VALUE!</v>
      </c>
      <c r="Y176" s="57" t="e">
        <f t="shared" si="74"/>
        <v>#VALUE!</v>
      </c>
      <c r="Z176" s="57"/>
      <c r="AA176" s="57"/>
      <c r="AB176" s="57"/>
      <c r="AC176" s="57"/>
      <c r="AD176" s="57"/>
      <c r="AE176" s="57"/>
      <c r="AF176" s="57"/>
      <c r="AG176" s="57"/>
      <c r="AH176" s="57"/>
      <c r="AI176" s="57"/>
      <c r="AJ176" s="57"/>
      <c r="AK176" s="57"/>
      <c r="AL176" s="57"/>
      <c r="AM176" s="57"/>
      <c r="AN176" s="57"/>
      <c r="AO176" s="57"/>
      <c r="AP176" s="57"/>
      <c r="AQ176" s="57"/>
      <c r="AR176" s="57"/>
      <c r="AS176" s="57"/>
    </row>
    <row r="177" spans="1:45">
      <c r="A177" s="57">
        <v>14</v>
      </c>
      <c r="B177" s="57">
        <v>2033</v>
      </c>
      <c r="C177" s="62">
        <f>SUM('4. Metinis CAPEX'!M$9:M$22)</f>
        <v>0</v>
      </c>
      <c r="D177" s="62" cm="1">
        <f t="array" ref="D177">SUMPRODUCT('4. Metinis CAPEX'!M$9:M$22,IFERROR('2. Investicijos'!$N$5:$N$18/'2. Investicijos'!$H$5:$H$18,0))</f>
        <v>0</v>
      </c>
      <c r="E177" s="62" cm="1">
        <f t="array" ref="E177">SUMPRODUCT('4. Metinis CAPEX'!M$9:M$22,IFERROR(('2. Investicijos'!$I$5:$I$18+'2. Investicijos'!$J$5:$J$18+'2. Investicijos'!$K$5:$K$18+'2. Investicijos'!$L$5:$L$18)/'2. Investicijos'!$H$5:$H$18,0))</f>
        <v>0</v>
      </c>
      <c r="F177" s="62" cm="1">
        <f t="array" ref="F177">SUM('2. Investicijos'!$H$5:$H$18*'7. Pasirinktinis scenarijus'!$C$6)</f>
        <v>0</v>
      </c>
      <c r="G177" s="62" cm="1">
        <f t="array" ref="G177">IF(AND(2033&gt;=2026,2033&lt;2026+'7. Pasirinktinis scenarijus'!$C$5),SUM('2. Investicijos'!$H$5:$H$18*'7. Pasirinktinis scenarijus'!$C$6)/'7. Pasirinktinis scenarijus'!$C$5,0)</f>
        <v>0</v>
      </c>
      <c r="H177" s="62">
        <f t="shared" si="68"/>
        <v>0</v>
      </c>
      <c r="I177" s="62">
        <f>SUM(M$5:M$18)</f>
        <v>0</v>
      </c>
      <c r="J177" s="62" t="e" cm="1">
        <f t="array" ref="J177">K177+L177+MAX(0,-R176)*IFERROR(SUMPRODUCT(IF('2. Investicijos'!$N$5:$N$18&gt;('2. Investicijos'!$H$5:$H$18*'7. Pasirinktinis scenarijus'!$C$6),'2. Investicijos'!$N$5:$N$18-('2. Investicijos'!$H$5:$H$18*'7. Pasirinktinis scenarijus'!$C$6),0),'2. Investicijos'!$O$5:$O$18/100)/SUM(IF('2. Investicijos'!$N$5:$N$18&gt;('2. Investicijos'!$H$5:$H$18*'7. Pasirinktinis scenarijus'!$C$6),'2. Investicijos'!$N$5:$N$18-('2. Investicijos'!$H$5:$H$18*'7. Pasirinktinis scenarijus'!$C$6),0)),0)</f>
        <v>#VALUE!</v>
      </c>
      <c r="K177" s="62">
        <f>SUM(AG$5:AG$18)</f>
        <v>0</v>
      </c>
      <c r="L177" s="62">
        <f>SUM(W$5:W$18)</f>
        <v>0</v>
      </c>
      <c r="M177" s="62">
        <f>SUM(AQ$5:AQ$18)</f>
        <v>0</v>
      </c>
      <c r="N177" s="62">
        <f>'3. Finansinės prielaidos'!J30+M177</f>
        <v>0</v>
      </c>
      <c r="O177" s="62">
        <f>'3. Finansinės prielaidos'!J31</f>
        <v>0</v>
      </c>
      <c r="P177" s="62">
        <f>'3. Finansinės prielaidos'!J32</f>
        <v>0</v>
      </c>
      <c r="Q177" s="62" t="e">
        <f t="shared" si="69"/>
        <v>#VALUE!</v>
      </c>
      <c r="R177" s="62" t="e">
        <f>R176+('3. Finansinės prielaidos'!J31-'3. Finansinės prielaidos'!I31)+Q177</f>
        <v>#VALUE!</v>
      </c>
      <c r="S177" s="62" t="e" cm="1">
        <f t="array" ref="S177">SUMPRODUCT(--(2033&gt;'2. Investicijos'!$F$5:$F$18),--(2033&lt;='2. Investicijos'!$F$5:$F$18+'2. Investicijos'!$G$5:$G$18),IFERROR(('2. Investicijos'!$M$5:$M$18+IF('2. Investicijos'!$N$5:$N$18&gt;('2. Investicijos'!$H$5:$H$18*'7. Pasirinktinis scenarijus'!$C$6),'2. Investicijos'!$N$5:$N$18-('2. Investicijos'!$H$5:$H$18*'7. Pasirinktinis scenarijus'!$C$6),0)+('2. Investicijos'!$H$5:$H$18*'7. Pasirinktinis scenarijus'!$C$6))/'2. Investicijos'!$G$5:$G$18,0))+SUMPRODUCT(--(2033&gt;'2. Investicijos'!$F$5:$F$18),--(2033&lt;='2. Investicijos'!$F$5:$F$18+'2. Investicijos'!$G$5:$G$18),IFERROR(('2. Investicijos'!$M$5:$M$18+IF('2. Investicijos'!$N$5:$N$18&gt;('2. Investicijos'!$H$5:$H$18*'7. Pasirinktinis scenarijus'!$C$6),'2. Investicijos'!$N$5:$N$18-('2. Investicijos'!$H$5:$H$18*'7. Pasirinktinis scenarijus'!$C$6),0))*(1-((2033-'2. Investicijos'!$F$5:$F$18)-1)/'2. Investicijos'!$G$5:$G$18),0)*'5. 0% scenarijus'!$C$5)</f>
        <v>#VALUE!</v>
      </c>
      <c r="T177" s="62" t="e">
        <f>'3. Finansinės prielaidos'!J29+S177+G177</f>
        <v>#VALUE!</v>
      </c>
      <c r="U177" s="62" t="e">
        <f t="shared" si="70"/>
        <v>#VALUE!</v>
      </c>
      <c r="V177" s="72" t="e">
        <f t="shared" si="71"/>
        <v>#VALUE!</v>
      </c>
      <c r="W177" s="72" t="e">
        <f t="shared" si="72"/>
        <v>#VALUE!</v>
      </c>
      <c r="X177" s="57" t="e">
        <f t="shared" si="73"/>
        <v>#VALUE!</v>
      </c>
      <c r="Y177" s="57" t="e">
        <f t="shared" si="74"/>
        <v>#VALUE!</v>
      </c>
      <c r="Z177" s="57"/>
      <c r="AA177" s="57"/>
      <c r="AB177" s="57"/>
      <c r="AC177" s="57"/>
      <c r="AD177" s="57"/>
      <c r="AE177" s="57"/>
      <c r="AF177" s="57"/>
      <c r="AG177" s="57"/>
      <c r="AH177" s="57"/>
      <c r="AI177" s="57"/>
      <c r="AJ177" s="57"/>
      <c r="AK177" s="57"/>
      <c r="AL177" s="57"/>
      <c r="AM177" s="57"/>
      <c r="AN177" s="57"/>
      <c r="AO177" s="57"/>
      <c r="AP177" s="57"/>
      <c r="AQ177" s="57"/>
      <c r="AR177" s="57"/>
      <c r="AS177" s="57"/>
    </row>
    <row r="178" spans="1:45">
      <c r="A178" s="57">
        <v>14</v>
      </c>
      <c r="B178" s="57">
        <v>2034</v>
      </c>
      <c r="C178" s="62">
        <f>SUM('4. Metinis CAPEX'!N$9:N$22)</f>
        <v>0</v>
      </c>
      <c r="D178" s="62" cm="1">
        <f t="array" ref="D178">SUMPRODUCT('4. Metinis CAPEX'!N$9:N$22,IFERROR('2. Investicijos'!$N$5:$N$18/'2. Investicijos'!$H$5:$H$18,0))</f>
        <v>0</v>
      </c>
      <c r="E178" s="62" cm="1">
        <f t="array" ref="E178">SUMPRODUCT('4. Metinis CAPEX'!N$9:N$22,IFERROR(('2. Investicijos'!$I$5:$I$18+'2. Investicijos'!$J$5:$J$18+'2. Investicijos'!$K$5:$K$18+'2. Investicijos'!$L$5:$L$18)/'2. Investicijos'!$H$5:$H$18,0))</f>
        <v>0</v>
      </c>
      <c r="F178" s="62" cm="1">
        <f t="array" ref="F178">SUM('2. Investicijos'!$H$5:$H$18*'7. Pasirinktinis scenarijus'!$C$6)</f>
        <v>0</v>
      </c>
      <c r="G178" s="62" cm="1">
        <f t="array" ref="G178">IF(AND(2034&gt;=2026,2034&lt;2026+'7. Pasirinktinis scenarijus'!$C$5),SUM('2. Investicijos'!$H$5:$H$18*'7. Pasirinktinis scenarijus'!$C$6)/'7. Pasirinktinis scenarijus'!$C$5,0)</f>
        <v>0</v>
      </c>
      <c r="H178" s="62">
        <f t="shared" si="68"/>
        <v>0</v>
      </c>
      <c r="I178" s="62">
        <f>SUM(N$5:N$18)</f>
        <v>0</v>
      </c>
      <c r="J178" s="62" t="e" cm="1">
        <f t="array" ref="J178">K178+L178+MAX(0,-R177)*IFERROR(SUMPRODUCT(IF('2. Investicijos'!$N$5:$N$18&gt;('2. Investicijos'!$H$5:$H$18*'7. Pasirinktinis scenarijus'!$C$6),'2. Investicijos'!$N$5:$N$18-('2. Investicijos'!$H$5:$H$18*'7. Pasirinktinis scenarijus'!$C$6),0),'2. Investicijos'!$O$5:$O$18/100)/SUM(IF('2. Investicijos'!$N$5:$N$18&gt;('2. Investicijos'!$H$5:$H$18*'7. Pasirinktinis scenarijus'!$C$6),'2. Investicijos'!$N$5:$N$18-('2. Investicijos'!$H$5:$H$18*'7. Pasirinktinis scenarijus'!$C$6),0)),0)</f>
        <v>#VALUE!</v>
      </c>
      <c r="K178" s="62">
        <f>SUM(AH$5:AH$18)</f>
        <v>0</v>
      </c>
      <c r="L178" s="62">
        <f>SUM(X$5:X$18)</f>
        <v>0</v>
      </c>
      <c r="M178" s="62">
        <f>SUM(AR$5:AR$18)</f>
        <v>0</v>
      </c>
      <c r="N178" s="62">
        <f>'3. Finansinės prielaidos'!K30+M178</f>
        <v>0</v>
      </c>
      <c r="O178" s="62">
        <f>'3. Finansinės prielaidos'!K31</f>
        <v>0</v>
      </c>
      <c r="P178" s="62">
        <f>'3. Finansinės prielaidos'!K32</f>
        <v>0</v>
      </c>
      <c r="Q178" s="62" t="e">
        <f t="shared" si="69"/>
        <v>#VALUE!</v>
      </c>
      <c r="R178" s="62" t="e">
        <f>R177+('3. Finansinės prielaidos'!K31-'3. Finansinės prielaidos'!J31)+Q178</f>
        <v>#VALUE!</v>
      </c>
      <c r="S178" s="62" t="e" cm="1">
        <f t="array" ref="S178">SUMPRODUCT(--(2034&gt;'2. Investicijos'!$F$5:$F$18),--(2034&lt;='2. Investicijos'!$F$5:$F$18+'2. Investicijos'!$G$5:$G$18),IFERROR(('2. Investicijos'!$M$5:$M$18+IF('2. Investicijos'!$N$5:$N$18&gt;('2. Investicijos'!$H$5:$H$18*'7. Pasirinktinis scenarijus'!$C$6),'2. Investicijos'!$N$5:$N$18-('2. Investicijos'!$H$5:$H$18*'7. Pasirinktinis scenarijus'!$C$6),0)+('2. Investicijos'!$H$5:$H$18*'7. Pasirinktinis scenarijus'!$C$6))/'2. Investicijos'!$G$5:$G$18,0))+SUMPRODUCT(--(2034&gt;'2. Investicijos'!$F$5:$F$18),--(2034&lt;='2. Investicijos'!$F$5:$F$18+'2. Investicijos'!$G$5:$G$18),IFERROR(('2. Investicijos'!$M$5:$M$18+IF('2. Investicijos'!$N$5:$N$18&gt;('2. Investicijos'!$H$5:$H$18*'7. Pasirinktinis scenarijus'!$C$6),'2. Investicijos'!$N$5:$N$18-('2. Investicijos'!$H$5:$H$18*'7. Pasirinktinis scenarijus'!$C$6),0))*(1-((2034-'2. Investicijos'!$F$5:$F$18)-1)/'2. Investicijos'!$G$5:$G$18),0)*'5. 0% scenarijus'!$C$5)</f>
        <v>#VALUE!</v>
      </c>
      <c r="T178" s="62" t="e">
        <f>'3. Finansinės prielaidos'!K29+S178+G178</f>
        <v>#VALUE!</v>
      </c>
      <c r="U178" s="62" t="e">
        <f t="shared" si="70"/>
        <v>#VALUE!</v>
      </c>
      <c r="V178" s="72" t="e">
        <f t="shared" si="71"/>
        <v>#VALUE!</v>
      </c>
      <c r="W178" s="72" t="e">
        <f t="shared" si="72"/>
        <v>#VALUE!</v>
      </c>
      <c r="X178" s="57" t="e">
        <f t="shared" si="73"/>
        <v>#VALUE!</v>
      </c>
      <c r="Y178" s="57" t="e">
        <f t="shared" si="74"/>
        <v>#VALUE!</v>
      </c>
      <c r="Z178" s="57"/>
      <c r="AA178" s="57"/>
      <c r="AB178" s="57"/>
      <c r="AC178" s="57"/>
      <c r="AD178" s="57"/>
      <c r="AE178" s="57"/>
      <c r="AF178" s="57"/>
      <c r="AG178" s="57"/>
      <c r="AH178" s="57"/>
      <c r="AI178" s="57"/>
      <c r="AJ178" s="57"/>
      <c r="AK178" s="57"/>
      <c r="AL178" s="57"/>
      <c r="AM178" s="57"/>
      <c r="AN178" s="57"/>
      <c r="AO178" s="57"/>
      <c r="AP178" s="57"/>
      <c r="AQ178" s="57"/>
      <c r="AR178" s="57"/>
      <c r="AS178" s="57"/>
    </row>
    <row r="179" spans="1:45">
      <c r="A179" s="57">
        <v>14</v>
      </c>
      <c r="B179" s="57">
        <v>2035</v>
      </c>
      <c r="C179" s="62">
        <f>SUM('4. Metinis CAPEX'!O$9:O$22)</f>
        <v>0</v>
      </c>
      <c r="D179" s="62" cm="1">
        <f t="array" ref="D179">SUMPRODUCT('4. Metinis CAPEX'!O$9:O$22,IFERROR('2. Investicijos'!$N$5:$N$18/'2. Investicijos'!$H$5:$H$18,0))</f>
        <v>0</v>
      </c>
      <c r="E179" s="62" cm="1">
        <f t="array" ref="E179">SUMPRODUCT('4. Metinis CAPEX'!O$9:O$22,IFERROR(('2. Investicijos'!$I$5:$I$18+'2. Investicijos'!$J$5:$J$18+'2. Investicijos'!$K$5:$K$18+'2. Investicijos'!$L$5:$L$18)/'2. Investicijos'!$H$5:$H$18,0))</f>
        <v>0</v>
      </c>
      <c r="F179" s="62" cm="1">
        <f t="array" ref="F179">SUM('2. Investicijos'!$H$5:$H$18*'7. Pasirinktinis scenarijus'!$C$6)</f>
        <v>0</v>
      </c>
      <c r="G179" s="62" cm="1">
        <f t="array" ref="G179">IF(AND(2035&gt;=2026,2035&lt;2026+'7. Pasirinktinis scenarijus'!$C$5),SUM('2. Investicijos'!$H$5:$H$18*'7. Pasirinktinis scenarijus'!$C$6)/'7. Pasirinktinis scenarijus'!$C$5,0)</f>
        <v>0</v>
      </c>
      <c r="H179" s="62">
        <f t="shared" si="68"/>
        <v>0</v>
      </c>
      <c r="I179" s="62">
        <f>SUM(O$5:O$18)</f>
        <v>0</v>
      </c>
      <c r="J179" s="62" t="e" cm="1">
        <f t="array" ref="J179">K179+L179+MAX(0,-R178)*IFERROR(SUMPRODUCT(IF('2. Investicijos'!$N$5:$N$18&gt;('2. Investicijos'!$H$5:$H$18*'7. Pasirinktinis scenarijus'!$C$6),'2. Investicijos'!$N$5:$N$18-('2. Investicijos'!$H$5:$H$18*'7. Pasirinktinis scenarijus'!$C$6),0),'2. Investicijos'!$O$5:$O$18/100)/SUM(IF('2. Investicijos'!$N$5:$N$18&gt;('2. Investicijos'!$H$5:$H$18*'7. Pasirinktinis scenarijus'!$C$6),'2. Investicijos'!$N$5:$N$18-('2. Investicijos'!$H$5:$H$18*'7. Pasirinktinis scenarijus'!$C$6),0)),0)</f>
        <v>#VALUE!</v>
      </c>
      <c r="K179" s="62">
        <f>SUM(AI$5:AI$18)</f>
        <v>0</v>
      </c>
      <c r="L179" s="62">
        <f>SUM(Y$5:Y$18)</f>
        <v>0</v>
      </c>
      <c r="M179" s="62">
        <f>SUM(AS$5:AS$18)</f>
        <v>0</v>
      </c>
      <c r="N179" s="62">
        <f>'3. Finansinės prielaidos'!L30+M179</f>
        <v>0</v>
      </c>
      <c r="O179" s="62">
        <f>'3. Finansinės prielaidos'!L31</f>
        <v>0</v>
      </c>
      <c r="P179" s="62">
        <f>'3. Finansinės prielaidos'!L32</f>
        <v>0</v>
      </c>
      <c r="Q179" s="62" t="e">
        <f t="shared" si="69"/>
        <v>#VALUE!</v>
      </c>
      <c r="R179" s="62" t="e">
        <f>R178+('3. Finansinės prielaidos'!L31-'3. Finansinės prielaidos'!K31)+Q179</f>
        <v>#VALUE!</v>
      </c>
      <c r="S179" s="62" t="e" cm="1">
        <f t="array" ref="S179">SUMPRODUCT(--(2035&gt;'2. Investicijos'!$F$5:$F$18),--(2035&lt;='2. Investicijos'!$F$5:$F$18+'2. Investicijos'!$G$5:$G$18),IFERROR(('2. Investicijos'!$M$5:$M$18+IF('2. Investicijos'!$N$5:$N$18&gt;('2. Investicijos'!$H$5:$H$18*'7. Pasirinktinis scenarijus'!$C$6),'2. Investicijos'!$N$5:$N$18-('2. Investicijos'!$H$5:$H$18*'7. Pasirinktinis scenarijus'!$C$6),0)+('2. Investicijos'!$H$5:$H$18*'7. Pasirinktinis scenarijus'!$C$6))/'2. Investicijos'!$G$5:$G$18,0))+SUMPRODUCT(--(2035&gt;'2. Investicijos'!$F$5:$F$18),--(2035&lt;='2. Investicijos'!$F$5:$F$18+'2. Investicijos'!$G$5:$G$18),IFERROR(('2. Investicijos'!$M$5:$M$18+IF('2. Investicijos'!$N$5:$N$18&gt;('2. Investicijos'!$H$5:$H$18*'7. Pasirinktinis scenarijus'!$C$6),'2. Investicijos'!$N$5:$N$18-('2. Investicijos'!$H$5:$H$18*'7. Pasirinktinis scenarijus'!$C$6),0))*(1-((2035-'2. Investicijos'!$F$5:$F$18)-1)/'2. Investicijos'!$G$5:$G$18),0)*'5. 0% scenarijus'!$C$5)</f>
        <v>#VALUE!</v>
      </c>
      <c r="T179" s="62" t="e">
        <f>'3. Finansinės prielaidos'!L29+S179+G179</f>
        <v>#VALUE!</v>
      </c>
      <c r="U179" s="62" t="e">
        <f t="shared" si="70"/>
        <v>#VALUE!</v>
      </c>
      <c r="V179" s="72" t="e">
        <f t="shared" si="71"/>
        <v>#VALUE!</v>
      </c>
      <c r="W179" s="72" t="e">
        <f t="shared" si="72"/>
        <v>#VALUE!</v>
      </c>
      <c r="X179" s="57" t="e">
        <f t="shared" si="73"/>
        <v>#VALUE!</v>
      </c>
      <c r="Y179" s="57" t="e">
        <f t="shared" si="74"/>
        <v>#VALUE!</v>
      </c>
      <c r="Z179" s="57"/>
      <c r="AA179" s="57"/>
      <c r="AB179" s="57"/>
      <c r="AC179" s="57"/>
      <c r="AD179" s="57"/>
      <c r="AE179" s="57"/>
      <c r="AF179" s="57"/>
      <c r="AG179" s="57"/>
      <c r="AH179" s="57"/>
      <c r="AI179" s="57"/>
      <c r="AJ179" s="57"/>
      <c r="AK179" s="57"/>
      <c r="AL179" s="57"/>
      <c r="AM179" s="57"/>
      <c r="AN179" s="57"/>
      <c r="AO179" s="57"/>
      <c r="AP179" s="57"/>
      <c r="AQ179" s="57"/>
      <c r="AR179" s="57"/>
      <c r="AS179" s="57"/>
    </row>
    <row r="180" spans="1:45">
      <c r="A180" s="57">
        <v>15</v>
      </c>
      <c r="B180" s="57">
        <v>2026</v>
      </c>
      <c r="C180" s="62">
        <f>SUM('4. Metinis CAPEX'!F$9:F$23)</f>
        <v>0</v>
      </c>
      <c r="D180" s="62" cm="1">
        <f t="array" ref="D180">SUMPRODUCT('4. Metinis CAPEX'!F$9:F$23,IFERROR('2. Investicijos'!$N$5:$N$19/'2. Investicijos'!$H$5:$H$19,0))</f>
        <v>0</v>
      </c>
      <c r="E180" s="62" cm="1">
        <f t="array" ref="E180">SUMPRODUCT('4. Metinis CAPEX'!F$9:F$23,IFERROR(('2. Investicijos'!$I$5:$I$19+'2. Investicijos'!$J$5:$J$19+'2. Investicijos'!$K$5:$K$19+'2. Investicijos'!$L$5:$L$19)/'2. Investicijos'!$H$5:$H$19,0))</f>
        <v>0</v>
      </c>
      <c r="F180" s="62" cm="1">
        <f t="array" ref="F180">SUM('2. Investicijos'!$H$5:$H$19*'7. Pasirinktinis scenarijus'!$C$6)</f>
        <v>0</v>
      </c>
      <c r="G180" s="62" cm="1">
        <f t="array" ref="G180">IF(AND(2026&gt;=2026,2026&lt;2026+'7. Pasirinktinis scenarijus'!$C$5),SUM('2. Investicijos'!$H$5:$H$19*'7. Pasirinktinis scenarijus'!$C$6)/'7. Pasirinktinis scenarijus'!$C$5,0)</f>
        <v>0</v>
      </c>
      <c r="H180" s="62">
        <f t="shared" si="68"/>
        <v>0</v>
      </c>
      <c r="I180" s="62">
        <f>SUM(F$5:F$19)</f>
        <v>0</v>
      </c>
      <c r="J180" s="62">
        <f>0</f>
        <v>0</v>
      </c>
      <c r="K180" s="62">
        <f>SUM(Z$5:Z$19)</f>
        <v>0</v>
      </c>
      <c r="L180" s="62">
        <f>SUM(P$5:P$19)</f>
        <v>0</v>
      </c>
      <c r="M180" s="62">
        <f>SUM(AJ$5:AJ$19)</f>
        <v>0</v>
      </c>
      <c r="N180" s="62">
        <f>'3. Finansinės prielaidos'!C30+M180</f>
        <v>0</v>
      </c>
      <c r="O180" s="62">
        <f>'3. Finansinės prielaidos'!C31</f>
        <v>0</v>
      </c>
      <c r="P180" s="62">
        <f>'3. Finansinės prielaidos'!C32</f>
        <v>0</v>
      </c>
      <c r="Q180" s="62" t="e">
        <f t="shared" si="69"/>
        <v>#VALUE!</v>
      </c>
      <c r="R180" s="62" t="e">
        <f>O180+Q180</f>
        <v>#VALUE!</v>
      </c>
      <c r="S180" s="62" t="e" cm="1">
        <f t="array" ref="S180">SUMPRODUCT(--(2026&gt;'2. Investicijos'!$F$5:$F$19),--(2026&lt;='2. Investicijos'!$F$5:$F$19+'2. Investicijos'!$G$5:$G$19),IFERROR(('2. Investicijos'!$M$5:$M$19+IF('2. Investicijos'!$N$5:$N$19&gt;('2. Investicijos'!$H$5:$H$19*'7. Pasirinktinis scenarijus'!$C$6),'2. Investicijos'!$N$5:$N$19-('2. Investicijos'!$H$5:$H$19*'7. Pasirinktinis scenarijus'!$C$6),0)+('2. Investicijos'!$H$5:$H$19*'7. Pasirinktinis scenarijus'!$C$6))/'2. Investicijos'!$G$5:$G$19,0))+SUMPRODUCT(--(2026&gt;'2. Investicijos'!$F$5:$F$19),--(2026&lt;='2. Investicijos'!$F$5:$F$19+'2. Investicijos'!$G$5:$G$19),IFERROR(('2. Investicijos'!$M$5:$M$19+IF('2. Investicijos'!$N$5:$N$19&gt;('2. Investicijos'!$H$5:$H$19*'7. Pasirinktinis scenarijus'!$C$6),'2. Investicijos'!$N$5:$N$19-('2. Investicijos'!$H$5:$H$19*'7. Pasirinktinis scenarijus'!$C$6),0))*(1-((2026-'2. Investicijos'!$F$5:$F$19)-1)/'2. Investicijos'!$G$5:$G$19),0)*'5. 0% scenarijus'!$C$5)</f>
        <v>#VALUE!</v>
      </c>
      <c r="T180" s="62" t="e">
        <f>'3. Finansinės prielaidos'!C29+S180+G180</f>
        <v>#VALUE!</v>
      </c>
      <c r="U180" s="62" t="e">
        <f t="shared" si="70"/>
        <v>#VALUE!</v>
      </c>
      <c r="V180" s="72" t="e">
        <f t="shared" si="71"/>
        <v>#VALUE!</v>
      </c>
      <c r="W180" s="72" t="e">
        <f t="shared" si="72"/>
        <v>#VALUE!</v>
      </c>
      <c r="X180" s="57" t="e">
        <f t="shared" si="73"/>
        <v>#VALUE!</v>
      </c>
      <c r="Y180" s="57" t="e">
        <f t="shared" si="74"/>
        <v>#VALUE!</v>
      </c>
      <c r="Z180" s="57"/>
      <c r="AA180" s="57"/>
      <c r="AB180" s="57"/>
      <c r="AC180" s="57"/>
      <c r="AD180" s="57"/>
      <c r="AE180" s="57"/>
      <c r="AF180" s="57"/>
      <c r="AG180" s="57"/>
      <c r="AH180" s="57"/>
      <c r="AI180" s="57"/>
      <c r="AJ180" s="57"/>
      <c r="AK180" s="57"/>
      <c r="AL180" s="57"/>
      <c r="AM180" s="57"/>
      <c r="AN180" s="57"/>
      <c r="AO180" s="57"/>
      <c r="AP180" s="57"/>
      <c r="AQ180" s="57"/>
      <c r="AR180" s="57"/>
      <c r="AS180" s="57"/>
    </row>
    <row r="181" spans="1:45">
      <c r="A181" s="57">
        <v>15</v>
      </c>
      <c r="B181" s="57">
        <v>2027</v>
      </c>
      <c r="C181" s="62">
        <f>SUM('4. Metinis CAPEX'!G$9:G$23)</f>
        <v>0</v>
      </c>
      <c r="D181" s="62" cm="1">
        <f t="array" ref="D181">SUMPRODUCT('4. Metinis CAPEX'!G$9:G$23,IFERROR('2. Investicijos'!$N$5:$N$19/'2. Investicijos'!$H$5:$H$19,0))</f>
        <v>0</v>
      </c>
      <c r="E181" s="62" cm="1">
        <f t="array" ref="E181">SUMPRODUCT('4. Metinis CAPEX'!G$9:G$23,IFERROR(('2. Investicijos'!$I$5:$I$19+'2. Investicijos'!$J$5:$J$19+'2. Investicijos'!$K$5:$K$19+'2. Investicijos'!$L$5:$L$19)/'2. Investicijos'!$H$5:$H$19,0))</f>
        <v>0</v>
      </c>
      <c r="F181" s="62" cm="1">
        <f t="array" ref="F181">SUM('2. Investicijos'!$H$5:$H$19*'7. Pasirinktinis scenarijus'!$C$6)</f>
        <v>0</v>
      </c>
      <c r="G181" s="62" cm="1">
        <f t="array" ref="G181">IF(AND(2027&gt;=2026,2027&lt;2026+'7. Pasirinktinis scenarijus'!$C$5),SUM('2. Investicijos'!$H$5:$H$19*'7. Pasirinktinis scenarijus'!$C$6)/'7. Pasirinktinis scenarijus'!$C$5,0)</f>
        <v>0</v>
      </c>
      <c r="H181" s="62">
        <f t="shared" si="68"/>
        <v>0</v>
      </c>
      <c r="I181" s="62">
        <f>SUM(G$5:G$19)</f>
        <v>0</v>
      </c>
      <c r="J181" s="62" t="e" cm="1">
        <f t="array" ref="J181">K181+L181+MAX(0,-R180)*IFERROR(SUMPRODUCT(IF('2. Investicijos'!$N$5:$N$19&gt;('2. Investicijos'!$H$5:$H$19*'7. Pasirinktinis scenarijus'!$C$6),'2. Investicijos'!$N$5:$N$19-('2. Investicijos'!$H$5:$H$19*'7. Pasirinktinis scenarijus'!$C$6),0),'2. Investicijos'!$O$5:$O$19/100)/SUM(IF('2. Investicijos'!$N$5:$N$19&gt;('2. Investicijos'!$H$5:$H$19*'7. Pasirinktinis scenarijus'!$C$6),'2. Investicijos'!$N$5:$N$19-('2. Investicijos'!$H$5:$H$19*'7. Pasirinktinis scenarijus'!$C$6),0)),0)</f>
        <v>#VALUE!</v>
      </c>
      <c r="K181" s="62">
        <f>SUM(AA$5:AA$19)</f>
        <v>0</v>
      </c>
      <c r="L181" s="62">
        <f>SUM(Q$5:Q$19)</f>
        <v>0</v>
      </c>
      <c r="M181" s="62">
        <f>SUM(AK$5:AK$19)</f>
        <v>0</v>
      </c>
      <c r="N181" s="62">
        <f>'3. Finansinės prielaidos'!D30+M181</f>
        <v>0</v>
      </c>
      <c r="O181" s="62">
        <f>'3. Finansinės prielaidos'!D31</f>
        <v>0</v>
      </c>
      <c r="P181" s="62">
        <f>'3. Finansinės prielaidos'!D32</f>
        <v>0</v>
      </c>
      <c r="Q181" s="62" t="e">
        <f t="shared" si="69"/>
        <v>#VALUE!</v>
      </c>
      <c r="R181" s="62" t="e">
        <f>R180+('3. Finansinės prielaidos'!D31-'3. Finansinės prielaidos'!C31)+Q181</f>
        <v>#VALUE!</v>
      </c>
      <c r="S181" s="62" t="e" cm="1">
        <f t="array" ref="S181">SUMPRODUCT(--(2027&gt;'2. Investicijos'!$F$5:$F$19),--(2027&lt;='2. Investicijos'!$F$5:$F$19+'2. Investicijos'!$G$5:$G$19),IFERROR(('2. Investicijos'!$M$5:$M$19+IF('2. Investicijos'!$N$5:$N$19&gt;('2. Investicijos'!$H$5:$H$19*'7. Pasirinktinis scenarijus'!$C$6),'2. Investicijos'!$N$5:$N$19-('2. Investicijos'!$H$5:$H$19*'7. Pasirinktinis scenarijus'!$C$6),0)+('2. Investicijos'!$H$5:$H$19*'7. Pasirinktinis scenarijus'!$C$6))/'2. Investicijos'!$G$5:$G$19,0))+SUMPRODUCT(--(2027&gt;'2. Investicijos'!$F$5:$F$19),--(2027&lt;='2. Investicijos'!$F$5:$F$19+'2. Investicijos'!$G$5:$G$19),IFERROR(('2. Investicijos'!$M$5:$M$19+IF('2. Investicijos'!$N$5:$N$19&gt;('2. Investicijos'!$H$5:$H$19*'7. Pasirinktinis scenarijus'!$C$6),'2. Investicijos'!$N$5:$N$19-('2. Investicijos'!$H$5:$H$19*'7. Pasirinktinis scenarijus'!$C$6),0))*(1-((2027-'2. Investicijos'!$F$5:$F$19)-1)/'2. Investicijos'!$G$5:$G$19),0)*'5. 0% scenarijus'!$C$5)</f>
        <v>#VALUE!</v>
      </c>
      <c r="T181" s="62" t="e">
        <f>'3. Finansinės prielaidos'!D29+S181+G181</f>
        <v>#VALUE!</v>
      </c>
      <c r="U181" s="62" t="e">
        <f t="shared" si="70"/>
        <v>#VALUE!</v>
      </c>
      <c r="V181" s="72" t="e">
        <f t="shared" si="71"/>
        <v>#VALUE!</v>
      </c>
      <c r="W181" s="72" t="e">
        <f t="shared" si="72"/>
        <v>#VALUE!</v>
      </c>
      <c r="X181" s="57" t="e">
        <f t="shared" si="73"/>
        <v>#VALUE!</v>
      </c>
      <c r="Y181" s="57" t="e">
        <f t="shared" si="74"/>
        <v>#VALUE!</v>
      </c>
      <c r="Z181" s="57"/>
      <c r="AA181" s="57"/>
      <c r="AB181" s="57"/>
      <c r="AC181" s="57"/>
      <c r="AD181" s="57"/>
      <c r="AE181" s="57"/>
      <c r="AF181" s="57"/>
      <c r="AG181" s="57"/>
      <c r="AH181" s="57"/>
      <c r="AI181" s="57"/>
      <c r="AJ181" s="57"/>
      <c r="AK181" s="57"/>
      <c r="AL181" s="57"/>
      <c r="AM181" s="57"/>
      <c r="AN181" s="57"/>
      <c r="AO181" s="57"/>
      <c r="AP181" s="57"/>
      <c r="AQ181" s="57"/>
      <c r="AR181" s="57"/>
      <c r="AS181" s="57"/>
    </row>
    <row r="182" spans="1:45">
      <c r="A182" s="57">
        <v>15</v>
      </c>
      <c r="B182" s="57">
        <v>2028</v>
      </c>
      <c r="C182" s="62">
        <f>SUM('4. Metinis CAPEX'!H$9:H$23)</f>
        <v>0</v>
      </c>
      <c r="D182" s="62" cm="1">
        <f t="array" ref="D182">SUMPRODUCT('4. Metinis CAPEX'!H$9:H$23,IFERROR('2. Investicijos'!$N$5:$N$19/'2. Investicijos'!$H$5:$H$19,0))</f>
        <v>0</v>
      </c>
      <c r="E182" s="62" cm="1">
        <f t="array" ref="E182">SUMPRODUCT('4. Metinis CAPEX'!H$9:H$23,IFERROR(('2. Investicijos'!$I$5:$I$19+'2. Investicijos'!$J$5:$J$19+'2. Investicijos'!$K$5:$K$19+'2. Investicijos'!$L$5:$L$19)/'2. Investicijos'!$H$5:$H$19,0))</f>
        <v>0</v>
      </c>
      <c r="F182" s="62" cm="1">
        <f t="array" ref="F182">SUM('2. Investicijos'!$H$5:$H$19*'7. Pasirinktinis scenarijus'!$C$6)</f>
        <v>0</v>
      </c>
      <c r="G182" s="62" cm="1">
        <f t="array" ref="G182">IF(AND(2028&gt;=2026,2028&lt;2026+'7. Pasirinktinis scenarijus'!$C$5),SUM('2. Investicijos'!$H$5:$H$19*'7. Pasirinktinis scenarijus'!$C$6)/'7. Pasirinktinis scenarijus'!$C$5,0)</f>
        <v>0</v>
      </c>
      <c r="H182" s="62">
        <f t="shared" si="68"/>
        <v>0</v>
      </c>
      <c r="I182" s="62">
        <f>SUM(H$5:H$19)</f>
        <v>0</v>
      </c>
      <c r="J182" s="62" t="e" cm="1">
        <f t="array" ref="J182">K182+L182+MAX(0,-R181)*IFERROR(SUMPRODUCT(IF('2. Investicijos'!$N$5:$N$19&gt;('2. Investicijos'!$H$5:$H$19*'7. Pasirinktinis scenarijus'!$C$6),'2. Investicijos'!$N$5:$N$19-('2. Investicijos'!$H$5:$H$19*'7. Pasirinktinis scenarijus'!$C$6),0),'2. Investicijos'!$O$5:$O$19/100)/SUM(IF('2. Investicijos'!$N$5:$N$19&gt;('2. Investicijos'!$H$5:$H$19*'7. Pasirinktinis scenarijus'!$C$6),'2. Investicijos'!$N$5:$N$19-('2. Investicijos'!$H$5:$H$19*'7. Pasirinktinis scenarijus'!$C$6),0)),0)</f>
        <v>#VALUE!</v>
      </c>
      <c r="K182" s="62">
        <f>SUM(AB$5:AB$19)</f>
        <v>0</v>
      </c>
      <c r="L182" s="62">
        <f>SUM(R$5:R$19)</f>
        <v>0</v>
      </c>
      <c r="M182" s="62">
        <f>SUM(AL$5:AL$19)</f>
        <v>0</v>
      </c>
      <c r="N182" s="62">
        <f>'3. Finansinės prielaidos'!E30+M182</f>
        <v>0</v>
      </c>
      <c r="O182" s="62">
        <f>'3. Finansinės prielaidos'!E31</f>
        <v>0</v>
      </c>
      <c r="P182" s="62">
        <f>'3. Finansinės prielaidos'!E32</f>
        <v>0</v>
      </c>
      <c r="Q182" s="62" t="e">
        <f t="shared" si="69"/>
        <v>#VALUE!</v>
      </c>
      <c r="R182" s="62" t="e">
        <f>R181+('3. Finansinės prielaidos'!E31-'3. Finansinės prielaidos'!D31)+Q182</f>
        <v>#VALUE!</v>
      </c>
      <c r="S182" s="62" t="e" cm="1">
        <f t="array" ref="S182">SUMPRODUCT(--(2028&gt;'2. Investicijos'!$F$5:$F$19),--(2028&lt;='2. Investicijos'!$F$5:$F$19+'2. Investicijos'!$G$5:$G$19),IFERROR(('2. Investicijos'!$M$5:$M$19+IF('2. Investicijos'!$N$5:$N$19&gt;('2. Investicijos'!$H$5:$H$19*'7. Pasirinktinis scenarijus'!$C$6),'2. Investicijos'!$N$5:$N$19-('2. Investicijos'!$H$5:$H$19*'7. Pasirinktinis scenarijus'!$C$6),0)+('2. Investicijos'!$H$5:$H$19*'7. Pasirinktinis scenarijus'!$C$6))/'2. Investicijos'!$G$5:$G$19,0))+SUMPRODUCT(--(2028&gt;'2. Investicijos'!$F$5:$F$19),--(2028&lt;='2. Investicijos'!$F$5:$F$19+'2. Investicijos'!$G$5:$G$19),IFERROR(('2. Investicijos'!$M$5:$M$19+IF('2. Investicijos'!$N$5:$N$19&gt;('2. Investicijos'!$H$5:$H$19*'7. Pasirinktinis scenarijus'!$C$6),'2. Investicijos'!$N$5:$N$19-('2. Investicijos'!$H$5:$H$19*'7. Pasirinktinis scenarijus'!$C$6),0))*(1-((2028-'2. Investicijos'!$F$5:$F$19)-1)/'2. Investicijos'!$G$5:$G$19),0)*'5. 0% scenarijus'!$C$5)</f>
        <v>#VALUE!</v>
      </c>
      <c r="T182" s="62" t="e">
        <f>'3. Finansinės prielaidos'!E29+S182+G182</f>
        <v>#VALUE!</v>
      </c>
      <c r="U182" s="62" t="e">
        <f t="shared" si="70"/>
        <v>#VALUE!</v>
      </c>
      <c r="V182" s="72" t="e">
        <f t="shared" si="71"/>
        <v>#VALUE!</v>
      </c>
      <c r="W182" s="72" t="e">
        <f t="shared" si="72"/>
        <v>#VALUE!</v>
      </c>
      <c r="X182" s="57" t="e">
        <f t="shared" si="73"/>
        <v>#VALUE!</v>
      </c>
      <c r="Y182" s="57" t="e">
        <f t="shared" si="74"/>
        <v>#VALUE!</v>
      </c>
      <c r="Z182" s="57"/>
      <c r="AA182" s="57"/>
      <c r="AB182" s="57"/>
      <c r="AC182" s="57"/>
      <c r="AD182" s="57"/>
      <c r="AE182" s="57"/>
      <c r="AF182" s="57"/>
      <c r="AG182" s="57"/>
      <c r="AH182" s="57"/>
      <c r="AI182" s="57"/>
      <c r="AJ182" s="57"/>
      <c r="AK182" s="57"/>
      <c r="AL182" s="57"/>
      <c r="AM182" s="57"/>
      <c r="AN182" s="57"/>
      <c r="AO182" s="57"/>
      <c r="AP182" s="57"/>
      <c r="AQ182" s="57"/>
      <c r="AR182" s="57"/>
      <c r="AS182" s="57"/>
    </row>
    <row r="183" spans="1:45">
      <c r="A183" s="57">
        <v>15</v>
      </c>
      <c r="B183" s="57">
        <v>2029</v>
      </c>
      <c r="C183" s="62">
        <f>SUM('4. Metinis CAPEX'!I$9:I$23)</f>
        <v>0</v>
      </c>
      <c r="D183" s="62" cm="1">
        <f t="array" ref="D183">SUMPRODUCT('4. Metinis CAPEX'!I$9:I$23,IFERROR('2. Investicijos'!$N$5:$N$19/'2. Investicijos'!$H$5:$H$19,0))</f>
        <v>0</v>
      </c>
      <c r="E183" s="62" cm="1">
        <f t="array" ref="E183">SUMPRODUCT('4. Metinis CAPEX'!I$9:I$23,IFERROR(('2. Investicijos'!$I$5:$I$19+'2. Investicijos'!$J$5:$J$19+'2. Investicijos'!$K$5:$K$19+'2. Investicijos'!$L$5:$L$19)/'2. Investicijos'!$H$5:$H$19,0))</f>
        <v>0</v>
      </c>
      <c r="F183" s="62" cm="1">
        <f t="array" ref="F183">SUM('2. Investicijos'!$H$5:$H$19*'7. Pasirinktinis scenarijus'!$C$6)</f>
        <v>0</v>
      </c>
      <c r="G183" s="62" cm="1">
        <f t="array" ref="G183">IF(AND(2029&gt;=2026,2029&lt;2026+'7. Pasirinktinis scenarijus'!$C$5),SUM('2. Investicijos'!$H$5:$H$19*'7. Pasirinktinis scenarijus'!$C$6)/'7. Pasirinktinis scenarijus'!$C$5,0)</f>
        <v>0</v>
      </c>
      <c r="H183" s="62">
        <f t="shared" si="68"/>
        <v>0</v>
      </c>
      <c r="I183" s="62">
        <f>SUM(I$5:I$19)</f>
        <v>0</v>
      </c>
      <c r="J183" s="62" t="e" cm="1">
        <f t="array" ref="J183">K183+L183+MAX(0,-R182)*IFERROR(SUMPRODUCT(IF('2. Investicijos'!$N$5:$N$19&gt;('2. Investicijos'!$H$5:$H$19*'7. Pasirinktinis scenarijus'!$C$6),'2. Investicijos'!$N$5:$N$19-('2. Investicijos'!$H$5:$H$19*'7. Pasirinktinis scenarijus'!$C$6),0),'2. Investicijos'!$O$5:$O$19/100)/SUM(IF('2. Investicijos'!$N$5:$N$19&gt;('2. Investicijos'!$H$5:$H$19*'7. Pasirinktinis scenarijus'!$C$6),'2. Investicijos'!$N$5:$N$19-('2. Investicijos'!$H$5:$H$19*'7. Pasirinktinis scenarijus'!$C$6),0)),0)</f>
        <v>#VALUE!</v>
      </c>
      <c r="K183" s="62">
        <f>SUM(AC$5:AC$19)</f>
        <v>0</v>
      </c>
      <c r="L183" s="62">
        <f>SUM(S$5:S$19)</f>
        <v>0</v>
      </c>
      <c r="M183" s="62">
        <f>SUM(AM$5:AM$19)</f>
        <v>0</v>
      </c>
      <c r="N183" s="62">
        <f>'3. Finansinės prielaidos'!F30+M183</f>
        <v>0</v>
      </c>
      <c r="O183" s="62">
        <f>'3. Finansinės prielaidos'!F31</f>
        <v>0</v>
      </c>
      <c r="P183" s="62">
        <f>'3. Finansinės prielaidos'!F32</f>
        <v>0</v>
      </c>
      <c r="Q183" s="62" t="e">
        <f t="shared" si="69"/>
        <v>#VALUE!</v>
      </c>
      <c r="R183" s="62" t="e">
        <f>R182+('3. Finansinės prielaidos'!F31-'3. Finansinės prielaidos'!E31)+Q183</f>
        <v>#VALUE!</v>
      </c>
      <c r="S183" s="62" t="e" cm="1">
        <f t="array" ref="S183">SUMPRODUCT(--(2029&gt;'2. Investicijos'!$F$5:$F$19),--(2029&lt;='2. Investicijos'!$F$5:$F$19+'2. Investicijos'!$G$5:$G$19),IFERROR(('2. Investicijos'!$M$5:$M$19+IF('2. Investicijos'!$N$5:$N$19&gt;('2. Investicijos'!$H$5:$H$19*'7. Pasirinktinis scenarijus'!$C$6),'2. Investicijos'!$N$5:$N$19-('2. Investicijos'!$H$5:$H$19*'7. Pasirinktinis scenarijus'!$C$6),0)+('2. Investicijos'!$H$5:$H$19*'7. Pasirinktinis scenarijus'!$C$6))/'2. Investicijos'!$G$5:$G$19,0))+SUMPRODUCT(--(2029&gt;'2. Investicijos'!$F$5:$F$19),--(2029&lt;='2. Investicijos'!$F$5:$F$19+'2. Investicijos'!$G$5:$G$19),IFERROR(('2. Investicijos'!$M$5:$M$19+IF('2. Investicijos'!$N$5:$N$19&gt;('2. Investicijos'!$H$5:$H$19*'7. Pasirinktinis scenarijus'!$C$6),'2. Investicijos'!$N$5:$N$19-('2. Investicijos'!$H$5:$H$19*'7. Pasirinktinis scenarijus'!$C$6),0))*(1-((2029-'2. Investicijos'!$F$5:$F$19)-1)/'2. Investicijos'!$G$5:$G$19),0)*'5. 0% scenarijus'!$C$5)</f>
        <v>#VALUE!</v>
      </c>
      <c r="T183" s="62" t="e">
        <f>'3. Finansinės prielaidos'!F29+S183+G183</f>
        <v>#VALUE!</v>
      </c>
      <c r="U183" s="62" t="e">
        <f t="shared" si="70"/>
        <v>#VALUE!</v>
      </c>
      <c r="V183" s="72" t="e">
        <f t="shared" si="71"/>
        <v>#VALUE!</v>
      </c>
      <c r="W183" s="72" t="e">
        <f t="shared" si="72"/>
        <v>#VALUE!</v>
      </c>
      <c r="X183" s="57" t="e">
        <f t="shared" si="73"/>
        <v>#VALUE!</v>
      </c>
      <c r="Y183" s="57" t="e">
        <f t="shared" si="74"/>
        <v>#VALUE!</v>
      </c>
      <c r="Z183" s="57"/>
      <c r="AA183" s="57"/>
      <c r="AB183" s="57"/>
      <c r="AC183" s="57"/>
      <c r="AD183" s="57"/>
      <c r="AE183" s="57"/>
      <c r="AF183" s="57"/>
      <c r="AG183" s="57"/>
      <c r="AH183" s="57"/>
      <c r="AI183" s="57"/>
      <c r="AJ183" s="57"/>
      <c r="AK183" s="57"/>
      <c r="AL183" s="57"/>
      <c r="AM183" s="57"/>
      <c r="AN183" s="57"/>
      <c r="AO183" s="57"/>
      <c r="AP183" s="57"/>
      <c r="AQ183" s="57"/>
      <c r="AR183" s="57"/>
      <c r="AS183" s="57"/>
    </row>
    <row r="184" spans="1:45">
      <c r="A184" s="57">
        <v>15</v>
      </c>
      <c r="B184" s="57">
        <v>2030</v>
      </c>
      <c r="C184" s="62">
        <f>SUM('4. Metinis CAPEX'!J$9:J$23)</f>
        <v>0</v>
      </c>
      <c r="D184" s="62" cm="1">
        <f t="array" ref="D184">SUMPRODUCT('4. Metinis CAPEX'!J$9:J$23,IFERROR('2. Investicijos'!$N$5:$N$19/'2. Investicijos'!$H$5:$H$19,0))</f>
        <v>0</v>
      </c>
      <c r="E184" s="62" cm="1">
        <f t="array" ref="E184">SUMPRODUCT('4. Metinis CAPEX'!J$9:J$23,IFERROR(('2. Investicijos'!$I$5:$I$19+'2. Investicijos'!$J$5:$J$19+'2. Investicijos'!$K$5:$K$19+'2. Investicijos'!$L$5:$L$19)/'2. Investicijos'!$H$5:$H$19,0))</f>
        <v>0</v>
      </c>
      <c r="F184" s="62" cm="1">
        <f t="array" ref="F184">SUM('2. Investicijos'!$H$5:$H$19*'7. Pasirinktinis scenarijus'!$C$6)</f>
        <v>0</v>
      </c>
      <c r="G184" s="62" cm="1">
        <f t="array" ref="G184">IF(AND(2030&gt;=2026,2030&lt;2026+'7. Pasirinktinis scenarijus'!$C$5),SUM('2. Investicijos'!$H$5:$H$19*'7. Pasirinktinis scenarijus'!$C$6)/'7. Pasirinktinis scenarijus'!$C$5,0)</f>
        <v>0</v>
      </c>
      <c r="H184" s="62">
        <f t="shared" si="68"/>
        <v>0</v>
      </c>
      <c r="I184" s="62">
        <f>SUM(J$5:J$19)</f>
        <v>0</v>
      </c>
      <c r="J184" s="62" t="e" cm="1">
        <f t="array" ref="J184">K184+L184+MAX(0,-R183)*IFERROR(SUMPRODUCT(IF('2. Investicijos'!$N$5:$N$19&gt;('2. Investicijos'!$H$5:$H$19*'7. Pasirinktinis scenarijus'!$C$6),'2. Investicijos'!$N$5:$N$19-('2. Investicijos'!$H$5:$H$19*'7. Pasirinktinis scenarijus'!$C$6),0),'2. Investicijos'!$O$5:$O$19/100)/SUM(IF('2. Investicijos'!$N$5:$N$19&gt;('2. Investicijos'!$H$5:$H$19*'7. Pasirinktinis scenarijus'!$C$6),'2. Investicijos'!$N$5:$N$19-('2. Investicijos'!$H$5:$H$19*'7. Pasirinktinis scenarijus'!$C$6),0)),0)</f>
        <v>#VALUE!</v>
      </c>
      <c r="K184" s="62">
        <f>SUM(AD$5:AD$19)</f>
        <v>0</v>
      </c>
      <c r="L184" s="62">
        <f>SUM(T$5:T$19)</f>
        <v>0</v>
      </c>
      <c r="M184" s="62">
        <f>SUM(AN$5:AN$19)</f>
        <v>0</v>
      </c>
      <c r="N184" s="62">
        <f>'3. Finansinės prielaidos'!G30+M184</f>
        <v>0</v>
      </c>
      <c r="O184" s="62">
        <f>'3. Finansinės prielaidos'!G31</f>
        <v>0</v>
      </c>
      <c r="P184" s="62">
        <f>'3. Finansinės prielaidos'!G32</f>
        <v>0</v>
      </c>
      <c r="Q184" s="62" t="e">
        <f t="shared" si="69"/>
        <v>#VALUE!</v>
      </c>
      <c r="R184" s="62" t="e">
        <f>R183+('3. Finansinės prielaidos'!G31-'3. Finansinės prielaidos'!F31)+Q184</f>
        <v>#VALUE!</v>
      </c>
      <c r="S184" s="62" t="e" cm="1">
        <f t="array" ref="S184">SUMPRODUCT(--(2030&gt;'2. Investicijos'!$F$5:$F$19),--(2030&lt;='2. Investicijos'!$F$5:$F$19+'2. Investicijos'!$G$5:$G$19),IFERROR(('2. Investicijos'!$M$5:$M$19+IF('2. Investicijos'!$N$5:$N$19&gt;('2. Investicijos'!$H$5:$H$19*'7. Pasirinktinis scenarijus'!$C$6),'2. Investicijos'!$N$5:$N$19-('2. Investicijos'!$H$5:$H$19*'7. Pasirinktinis scenarijus'!$C$6),0)+('2. Investicijos'!$H$5:$H$19*'7. Pasirinktinis scenarijus'!$C$6))/'2. Investicijos'!$G$5:$G$19,0))+SUMPRODUCT(--(2030&gt;'2. Investicijos'!$F$5:$F$19),--(2030&lt;='2. Investicijos'!$F$5:$F$19+'2. Investicijos'!$G$5:$G$19),IFERROR(('2. Investicijos'!$M$5:$M$19+IF('2. Investicijos'!$N$5:$N$19&gt;('2. Investicijos'!$H$5:$H$19*'7. Pasirinktinis scenarijus'!$C$6),'2. Investicijos'!$N$5:$N$19-('2. Investicijos'!$H$5:$H$19*'7. Pasirinktinis scenarijus'!$C$6),0))*(1-((2030-'2. Investicijos'!$F$5:$F$19)-1)/'2. Investicijos'!$G$5:$G$19),0)*'5. 0% scenarijus'!$C$5)</f>
        <v>#VALUE!</v>
      </c>
      <c r="T184" s="62" t="e">
        <f>'3. Finansinės prielaidos'!G29+S184+G184</f>
        <v>#VALUE!</v>
      </c>
      <c r="U184" s="62" t="e">
        <f t="shared" si="70"/>
        <v>#VALUE!</v>
      </c>
      <c r="V184" s="72" t="e">
        <f t="shared" si="71"/>
        <v>#VALUE!</v>
      </c>
      <c r="W184" s="72" t="e">
        <f t="shared" si="72"/>
        <v>#VALUE!</v>
      </c>
      <c r="X184" s="57" t="e">
        <f t="shared" si="73"/>
        <v>#VALUE!</v>
      </c>
      <c r="Y184" s="57" t="e">
        <f t="shared" si="74"/>
        <v>#VALUE!</v>
      </c>
      <c r="Z184" s="57"/>
      <c r="AA184" s="57"/>
      <c r="AB184" s="57"/>
      <c r="AC184" s="57"/>
      <c r="AD184" s="57"/>
      <c r="AE184" s="57"/>
      <c r="AF184" s="57"/>
      <c r="AG184" s="57"/>
      <c r="AH184" s="57"/>
      <c r="AI184" s="57"/>
      <c r="AJ184" s="57"/>
      <c r="AK184" s="57"/>
      <c r="AL184" s="57"/>
      <c r="AM184" s="57"/>
      <c r="AN184" s="57"/>
      <c r="AO184" s="57"/>
      <c r="AP184" s="57"/>
      <c r="AQ184" s="57"/>
      <c r="AR184" s="57"/>
      <c r="AS184" s="57"/>
    </row>
    <row r="185" spans="1:45">
      <c r="A185" s="57">
        <v>15</v>
      </c>
      <c r="B185" s="57">
        <v>2031</v>
      </c>
      <c r="C185" s="62">
        <f>SUM('4. Metinis CAPEX'!K$9:K$23)</f>
        <v>0</v>
      </c>
      <c r="D185" s="62" cm="1">
        <f t="array" ref="D185">SUMPRODUCT('4. Metinis CAPEX'!K$9:K$23,IFERROR('2. Investicijos'!$N$5:$N$19/'2. Investicijos'!$H$5:$H$19,0))</f>
        <v>0</v>
      </c>
      <c r="E185" s="62" cm="1">
        <f t="array" ref="E185">SUMPRODUCT('4. Metinis CAPEX'!K$9:K$23,IFERROR(('2. Investicijos'!$I$5:$I$19+'2. Investicijos'!$J$5:$J$19+'2. Investicijos'!$K$5:$K$19+'2. Investicijos'!$L$5:$L$19)/'2. Investicijos'!$H$5:$H$19,0))</f>
        <v>0</v>
      </c>
      <c r="F185" s="62" cm="1">
        <f t="array" ref="F185">SUM('2. Investicijos'!$H$5:$H$19*'7. Pasirinktinis scenarijus'!$C$6)</f>
        <v>0</v>
      </c>
      <c r="G185" s="62" cm="1">
        <f t="array" ref="G185">IF(AND(2031&gt;=2026,2031&lt;2026+'7. Pasirinktinis scenarijus'!$C$5),SUM('2. Investicijos'!$H$5:$H$19*'7. Pasirinktinis scenarijus'!$C$6)/'7. Pasirinktinis scenarijus'!$C$5,0)</f>
        <v>0</v>
      </c>
      <c r="H185" s="62">
        <f t="shared" si="68"/>
        <v>0</v>
      </c>
      <c r="I185" s="62">
        <f>SUM(K$5:K$19)</f>
        <v>0</v>
      </c>
      <c r="J185" s="62" t="e" cm="1">
        <f t="array" ref="J185">K185+L185+MAX(0,-R184)*IFERROR(SUMPRODUCT(IF('2. Investicijos'!$N$5:$N$19&gt;('2. Investicijos'!$H$5:$H$19*'7. Pasirinktinis scenarijus'!$C$6),'2. Investicijos'!$N$5:$N$19-('2. Investicijos'!$H$5:$H$19*'7. Pasirinktinis scenarijus'!$C$6),0),'2. Investicijos'!$O$5:$O$19/100)/SUM(IF('2. Investicijos'!$N$5:$N$19&gt;('2. Investicijos'!$H$5:$H$19*'7. Pasirinktinis scenarijus'!$C$6),'2. Investicijos'!$N$5:$N$19-('2. Investicijos'!$H$5:$H$19*'7. Pasirinktinis scenarijus'!$C$6),0)),0)</f>
        <v>#VALUE!</v>
      </c>
      <c r="K185" s="62">
        <f>SUM(AE$5:AE$19)</f>
        <v>0</v>
      </c>
      <c r="L185" s="62">
        <f>SUM(U$5:U$19)</f>
        <v>0</v>
      </c>
      <c r="M185" s="62">
        <f>SUM(AO$5:AO$19)</f>
        <v>0</v>
      </c>
      <c r="N185" s="62">
        <f>'3. Finansinės prielaidos'!H30+M185</f>
        <v>0</v>
      </c>
      <c r="O185" s="62">
        <f>'3. Finansinės prielaidos'!H31</f>
        <v>0</v>
      </c>
      <c r="P185" s="62">
        <f>'3. Finansinės prielaidos'!H32</f>
        <v>0</v>
      </c>
      <c r="Q185" s="62" t="e">
        <f t="shared" si="69"/>
        <v>#VALUE!</v>
      </c>
      <c r="R185" s="62" t="e">
        <f>R184+('3. Finansinės prielaidos'!H31-'3. Finansinės prielaidos'!G31)+Q185</f>
        <v>#VALUE!</v>
      </c>
      <c r="S185" s="62" t="e" cm="1">
        <f t="array" ref="S185">SUMPRODUCT(--(2031&gt;'2. Investicijos'!$F$5:$F$19),--(2031&lt;='2. Investicijos'!$F$5:$F$19+'2. Investicijos'!$G$5:$G$19),IFERROR(('2. Investicijos'!$M$5:$M$19+IF('2. Investicijos'!$N$5:$N$19&gt;('2. Investicijos'!$H$5:$H$19*'7. Pasirinktinis scenarijus'!$C$6),'2. Investicijos'!$N$5:$N$19-('2. Investicijos'!$H$5:$H$19*'7. Pasirinktinis scenarijus'!$C$6),0)+('2. Investicijos'!$H$5:$H$19*'7. Pasirinktinis scenarijus'!$C$6))/'2. Investicijos'!$G$5:$G$19,0))+SUMPRODUCT(--(2031&gt;'2. Investicijos'!$F$5:$F$19),--(2031&lt;='2. Investicijos'!$F$5:$F$19+'2. Investicijos'!$G$5:$G$19),IFERROR(('2. Investicijos'!$M$5:$M$19+IF('2. Investicijos'!$N$5:$N$19&gt;('2. Investicijos'!$H$5:$H$19*'7. Pasirinktinis scenarijus'!$C$6),'2. Investicijos'!$N$5:$N$19-('2. Investicijos'!$H$5:$H$19*'7. Pasirinktinis scenarijus'!$C$6),0))*(1-((2031-'2. Investicijos'!$F$5:$F$19)-1)/'2. Investicijos'!$G$5:$G$19),0)*'5. 0% scenarijus'!$C$5)</f>
        <v>#VALUE!</v>
      </c>
      <c r="T185" s="62" t="e">
        <f>'3. Finansinės prielaidos'!H29+S185+G185</f>
        <v>#VALUE!</v>
      </c>
      <c r="U185" s="62" t="e">
        <f t="shared" si="70"/>
        <v>#VALUE!</v>
      </c>
      <c r="V185" s="72" t="e">
        <f t="shared" si="71"/>
        <v>#VALUE!</v>
      </c>
      <c r="W185" s="72" t="e">
        <f t="shared" si="72"/>
        <v>#VALUE!</v>
      </c>
      <c r="X185" s="57" t="e">
        <f t="shared" si="73"/>
        <v>#VALUE!</v>
      </c>
      <c r="Y185" s="57" t="e">
        <f t="shared" si="74"/>
        <v>#VALUE!</v>
      </c>
      <c r="Z185" s="57"/>
      <c r="AA185" s="57"/>
      <c r="AB185" s="57"/>
      <c r="AC185" s="57"/>
      <c r="AD185" s="57"/>
      <c r="AE185" s="57"/>
      <c r="AF185" s="57"/>
      <c r="AG185" s="57"/>
      <c r="AH185" s="57"/>
      <c r="AI185" s="57"/>
      <c r="AJ185" s="57"/>
      <c r="AK185" s="57"/>
      <c r="AL185" s="57"/>
      <c r="AM185" s="57"/>
      <c r="AN185" s="57"/>
      <c r="AO185" s="57"/>
      <c r="AP185" s="57"/>
      <c r="AQ185" s="57"/>
      <c r="AR185" s="57"/>
      <c r="AS185" s="57"/>
    </row>
    <row r="186" spans="1:45">
      <c r="A186" s="57">
        <v>15</v>
      </c>
      <c r="B186" s="57">
        <v>2032</v>
      </c>
      <c r="C186" s="62">
        <f>SUM('4. Metinis CAPEX'!L$9:L$23)</f>
        <v>0</v>
      </c>
      <c r="D186" s="62" cm="1">
        <f t="array" ref="D186">SUMPRODUCT('4. Metinis CAPEX'!L$9:L$23,IFERROR('2. Investicijos'!$N$5:$N$19/'2. Investicijos'!$H$5:$H$19,0))</f>
        <v>0</v>
      </c>
      <c r="E186" s="62" cm="1">
        <f t="array" ref="E186">SUMPRODUCT('4. Metinis CAPEX'!L$9:L$23,IFERROR(('2. Investicijos'!$I$5:$I$19+'2. Investicijos'!$J$5:$J$19+'2. Investicijos'!$K$5:$K$19+'2. Investicijos'!$L$5:$L$19)/'2. Investicijos'!$H$5:$H$19,0))</f>
        <v>0</v>
      </c>
      <c r="F186" s="62" cm="1">
        <f t="array" ref="F186">SUM('2. Investicijos'!$H$5:$H$19*'7. Pasirinktinis scenarijus'!$C$6)</f>
        <v>0</v>
      </c>
      <c r="G186" s="62" cm="1">
        <f t="array" ref="G186">IF(AND(2032&gt;=2026,2032&lt;2026+'7. Pasirinktinis scenarijus'!$C$5),SUM('2. Investicijos'!$H$5:$H$19*'7. Pasirinktinis scenarijus'!$C$6)/'7. Pasirinktinis scenarijus'!$C$5,0)</f>
        <v>0</v>
      </c>
      <c r="H186" s="62">
        <f t="shared" si="68"/>
        <v>0</v>
      </c>
      <c r="I186" s="62">
        <f>SUM(L$5:L$19)</f>
        <v>0</v>
      </c>
      <c r="J186" s="62" t="e" cm="1">
        <f t="array" ref="J186">K186+L186+MAX(0,-R185)*IFERROR(SUMPRODUCT(IF('2. Investicijos'!$N$5:$N$19&gt;('2. Investicijos'!$H$5:$H$19*'7. Pasirinktinis scenarijus'!$C$6),'2. Investicijos'!$N$5:$N$19-('2. Investicijos'!$H$5:$H$19*'7. Pasirinktinis scenarijus'!$C$6),0),'2. Investicijos'!$O$5:$O$19/100)/SUM(IF('2. Investicijos'!$N$5:$N$19&gt;('2. Investicijos'!$H$5:$H$19*'7. Pasirinktinis scenarijus'!$C$6),'2. Investicijos'!$N$5:$N$19-('2. Investicijos'!$H$5:$H$19*'7. Pasirinktinis scenarijus'!$C$6),0)),0)</f>
        <v>#VALUE!</v>
      </c>
      <c r="K186" s="62">
        <f>SUM(AF$5:AF$19)</f>
        <v>0</v>
      </c>
      <c r="L186" s="62">
        <f>SUM(V$5:V$19)</f>
        <v>0</v>
      </c>
      <c r="M186" s="62">
        <f>SUM(AP$5:AP$19)</f>
        <v>0</v>
      </c>
      <c r="N186" s="62">
        <f>'3. Finansinės prielaidos'!I30+M186</f>
        <v>0</v>
      </c>
      <c r="O186" s="62">
        <f>'3. Finansinės prielaidos'!I31</f>
        <v>0</v>
      </c>
      <c r="P186" s="62">
        <f>'3. Finansinės prielaidos'!I32</f>
        <v>0</v>
      </c>
      <c r="Q186" s="62" t="e">
        <f t="shared" si="69"/>
        <v>#VALUE!</v>
      </c>
      <c r="R186" s="62" t="e">
        <f>R185+('3. Finansinės prielaidos'!I31-'3. Finansinės prielaidos'!H31)+Q186</f>
        <v>#VALUE!</v>
      </c>
      <c r="S186" s="62" t="e" cm="1">
        <f t="array" ref="S186">SUMPRODUCT(--(2032&gt;'2. Investicijos'!$F$5:$F$19),--(2032&lt;='2. Investicijos'!$F$5:$F$19+'2. Investicijos'!$G$5:$G$19),IFERROR(('2. Investicijos'!$M$5:$M$19+IF('2. Investicijos'!$N$5:$N$19&gt;('2. Investicijos'!$H$5:$H$19*'7. Pasirinktinis scenarijus'!$C$6),'2. Investicijos'!$N$5:$N$19-('2. Investicijos'!$H$5:$H$19*'7. Pasirinktinis scenarijus'!$C$6),0)+('2. Investicijos'!$H$5:$H$19*'7. Pasirinktinis scenarijus'!$C$6))/'2. Investicijos'!$G$5:$G$19,0))+SUMPRODUCT(--(2032&gt;'2. Investicijos'!$F$5:$F$19),--(2032&lt;='2. Investicijos'!$F$5:$F$19+'2. Investicijos'!$G$5:$G$19),IFERROR(('2. Investicijos'!$M$5:$M$19+IF('2. Investicijos'!$N$5:$N$19&gt;('2. Investicijos'!$H$5:$H$19*'7. Pasirinktinis scenarijus'!$C$6),'2. Investicijos'!$N$5:$N$19-('2. Investicijos'!$H$5:$H$19*'7. Pasirinktinis scenarijus'!$C$6),0))*(1-((2032-'2. Investicijos'!$F$5:$F$19)-1)/'2. Investicijos'!$G$5:$G$19),0)*'5. 0% scenarijus'!$C$5)</f>
        <v>#VALUE!</v>
      </c>
      <c r="T186" s="62" t="e">
        <f>'3. Finansinės prielaidos'!I29+S186+G186</f>
        <v>#VALUE!</v>
      </c>
      <c r="U186" s="62" t="e">
        <f t="shared" si="70"/>
        <v>#VALUE!</v>
      </c>
      <c r="V186" s="72" t="e">
        <f t="shared" si="71"/>
        <v>#VALUE!</v>
      </c>
      <c r="W186" s="72" t="e">
        <f t="shared" si="72"/>
        <v>#VALUE!</v>
      </c>
      <c r="X186" s="57" t="e">
        <f t="shared" si="73"/>
        <v>#VALUE!</v>
      </c>
      <c r="Y186" s="57" t="e">
        <f t="shared" si="74"/>
        <v>#VALUE!</v>
      </c>
      <c r="Z186" s="57"/>
      <c r="AA186" s="57"/>
      <c r="AB186" s="57"/>
      <c r="AC186" s="57"/>
      <c r="AD186" s="57"/>
      <c r="AE186" s="57"/>
      <c r="AF186" s="57"/>
      <c r="AG186" s="57"/>
      <c r="AH186" s="57"/>
      <c r="AI186" s="57"/>
      <c r="AJ186" s="57"/>
      <c r="AK186" s="57"/>
      <c r="AL186" s="57"/>
      <c r="AM186" s="57"/>
      <c r="AN186" s="57"/>
      <c r="AO186" s="57"/>
      <c r="AP186" s="57"/>
      <c r="AQ186" s="57"/>
      <c r="AR186" s="57"/>
      <c r="AS186" s="57"/>
    </row>
    <row r="187" spans="1:45">
      <c r="A187" s="57">
        <v>15</v>
      </c>
      <c r="B187" s="57">
        <v>2033</v>
      </c>
      <c r="C187" s="62">
        <f>SUM('4. Metinis CAPEX'!M$9:M$23)</f>
        <v>0</v>
      </c>
      <c r="D187" s="62" cm="1">
        <f t="array" ref="D187">SUMPRODUCT('4. Metinis CAPEX'!M$9:M$23,IFERROR('2. Investicijos'!$N$5:$N$19/'2. Investicijos'!$H$5:$H$19,0))</f>
        <v>0</v>
      </c>
      <c r="E187" s="62" cm="1">
        <f t="array" ref="E187">SUMPRODUCT('4. Metinis CAPEX'!M$9:M$23,IFERROR(('2. Investicijos'!$I$5:$I$19+'2. Investicijos'!$J$5:$J$19+'2. Investicijos'!$K$5:$K$19+'2. Investicijos'!$L$5:$L$19)/'2. Investicijos'!$H$5:$H$19,0))</f>
        <v>0</v>
      </c>
      <c r="F187" s="62" cm="1">
        <f t="array" ref="F187">SUM('2. Investicijos'!$H$5:$H$19*'7. Pasirinktinis scenarijus'!$C$6)</f>
        <v>0</v>
      </c>
      <c r="G187" s="62" cm="1">
        <f t="array" ref="G187">IF(AND(2033&gt;=2026,2033&lt;2026+'7. Pasirinktinis scenarijus'!$C$5),SUM('2. Investicijos'!$H$5:$H$19*'7. Pasirinktinis scenarijus'!$C$6)/'7. Pasirinktinis scenarijus'!$C$5,0)</f>
        <v>0</v>
      </c>
      <c r="H187" s="62">
        <f t="shared" si="68"/>
        <v>0</v>
      </c>
      <c r="I187" s="62">
        <f>SUM(M$5:M$19)</f>
        <v>0</v>
      </c>
      <c r="J187" s="62" t="e" cm="1">
        <f t="array" ref="J187">K187+L187+MAX(0,-R186)*IFERROR(SUMPRODUCT(IF('2. Investicijos'!$N$5:$N$19&gt;('2. Investicijos'!$H$5:$H$19*'7. Pasirinktinis scenarijus'!$C$6),'2. Investicijos'!$N$5:$N$19-('2. Investicijos'!$H$5:$H$19*'7. Pasirinktinis scenarijus'!$C$6),0),'2. Investicijos'!$O$5:$O$19/100)/SUM(IF('2. Investicijos'!$N$5:$N$19&gt;('2. Investicijos'!$H$5:$H$19*'7. Pasirinktinis scenarijus'!$C$6),'2. Investicijos'!$N$5:$N$19-('2. Investicijos'!$H$5:$H$19*'7. Pasirinktinis scenarijus'!$C$6),0)),0)</f>
        <v>#VALUE!</v>
      </c>
      <c r="K187" s="62">
        <f>SUM(AG$5:AG$19)</f>
        <v>0</v>
      </c>
      <c r="L187" s="62">
        <f>SUM(W$5:W$19)</f>
        <v>0</v>
      </c>
      <c r="M187" s="62">
        <f>SUM(AQ$5:AQ$19)</f>
        <v>0</v>
      </c>
      <c r="N187" s="62">
        <f>'3. Finansinės prielaidos'!J30+M187</f>
        <v>0</v>
      </c>
      <c r="O187" s="62">
        <f>'3. Finansinės prielaidos'!J31</f>
        <v>0</v>
      </c>
      <c r="P187" s="62">
        <f>'3. Finansinės prielaidos'!J32</f>
        <v>0</v>
      </c>
      <c r="Q187" s="62" t="e">
        <f t="shared" si="69"/>
        <v>#VALUE!</v>
      </c>
      <c r="R187" s="62" t="e">
        <f>R186+('3. Finansinės prielaidos'!J31-'3. Finansinės prielaidos'!I31)+Q187</f>
        <v>#VALUE!</v>
      </c>
      <c r="S187" s="62" t="e" cm="1">
        <f t="array" ref="S187">SUMPRODUCT(--(2033&gt;'2. Investicijos'!$F$5:$F$19),--(2033&lt;='2. Investicijos'!$F$5:$F$19+'2. Investicijos'!$G$5:$G$19),IFERROR(('2. Investicijos'!$M$5:$M$19+IF('2. Investicijos'!$N$5:$N$19&gt;('2. Investicijos'!$H$5:$H$19*'7. Pasirinktinis scenarijus'!$C$6),'2. Investicijos'!$N$5:$N$19-('2. Investicijos'!$H$5:$H$19*'7. Pasirinktinis scenarijus'!$C$6),0)+('2. Investicijos'!$H$5:$H$19*'7. Pasirinktinis scenarijus'!$C$6))/'2. Investicijos'!$G$5:$G$19,0))+SUMPRODUCT(--(2033&gt;'2. Investicijos'!$F$5:$F$19),--(2033&lt;='2. Investicijos'!$F$5:$F$19+'2. Investicijos'!$G$5:$G$19),IFERROR(('2. Investicijos'!$M$5:$M$19+IF('2. Investicijos'!$N$5:$N$19&gt;('2. Investicijos'!$H$5:$H$19*'7. Pasirinktinis scenarijus'!$C$6),'2. Investicijos'!$N$5:$N$19-('2. Investicijos'!$H$5:$H$19*'7. Pasirinktinis scenarijus'!$C$6),0))*(1-((2033-'2. Investicijos'!$F$5:$F$19)-1)/'2. Investicijos'!$G$5:$G$19),0)*'5. 0% scenarijus'!$C$5)</f>
        <v>#VALUE!</v>
      </c>
      <c r="T187" s="62" t="e">
        <f>'3. Finansinės prielaidos'!J29+S187+G187</f>
        <v>#VALUE!</v>
      </c>
      <c r="U187" s="62" t="e">
        <f t="shared" si="70"/>
        <v>#VALUE!</v>
      </c>
      <c r="V187" s="72" t="e">
        <f t="shared" si="71"/>
        <v>#VALUE!</v>
      </c>
      <c r="W187" s="72" t="e">
        <f t="shared" si="72"/>
        <v>#VALUE!</v>
      </c>
      <c r="X187" s="57" t="e">
        <f t="shared" si="73"/>
        <v>#VALUE!</v>
      </c>
      <c r="Y187" s="57" t="e">
        <f t="shared" si="74"/>
        <v>#VALUE!</v>
      </c>
      <c r="Z187" s="57"/>
      <c r="AA187" s="57"/>
      <c r="AB187" s="57"/>
      <c r="AC187" s="57"/>
      <c r="AD187" s="57"/>
      <c r="AE187" s="57"/>
      <c r="AF187" s="57"/>
      <c r="AG187" s="57"/>
      <c r="AH187" s="57"/>
      <c r="AI187" s="57"/>
      <c r="AJ187" s="57"/>
      <c r="AK187" s="57"/>
      <c r="AL187" s="57"/>
      <c r="AM187" s="57"/>
      <c r="AN187" s="57"/>
      <c r="AO187" s="57"/>
      <c r="AP187" s="57"/>
      <c r="AQ187" s="57"/>
      <c r="AR187" s="57"/>
      <c r="AS187" s="57"/>
    </row>
    <row r="188" spans="1:45">
      <c r="A188" s="57">
        <v>15</v>
      </c>
      <c r="B188" s="57">
        <v>2034</v>
      </c>
      <c r="C188" s="62">
        <f>SUM('4. Metinis CAPEX'!N$9:N$23)</f>
        <v>0</v>
      </c>
      <c r="D188" s="62" cm="1">
        <f t="array" ref="D188">SUMPRODUCT('4. Metinis CAPEX'!N$9:N$23,IFERROR('2. Investicijos'!$N$5:$N$19/'2. Investicijos'!$H$5:$H$19,0))</f>
        <v>0</v>
      </c>
      <c r="E188" s="62" cm="1">
        <f t="array" ref="E188">SUMPRODUCT('4. Metinis CAPEX'!N$9:N$23,IFERROR(('2. Investicijos'!$I$5:$I$19+'2. Investicijos'!$J$5:$J$19+'2. Investicijos'!$K$5:$K$19+'2. Investicijos'!$L$5:$L$19)/'2. Investicijos'!$H$5:$H$19,0))</f>
        <v>0</v>
      </c>
      <c r="F188" s="62" cm="1">
        <f t="array" ref="F188">SUM('2. Investicijos'!$H$5:$H$19*'7. Pasirinktinis scenarijus'!$C$6)</f>
        <v>0</v>
      </c>
      <c r="G188" s="62" cm="1">
        <f t="array" ref="G188">IF(AND(2034&gt;=2026,2034&lt;2026+'7. Pasirinktinis scenarijus'!$C$5),SUM('2. Investicijos'!$H$5:$H$19*'7. Pasirinktinis scenarijus'!$C$6)/'7. Pasirinktinis scenarijus'!$C$5,0)</f>
        <v>0</v>
      </c>
      <c r="H188" s="62">
        <f t="shared" si="68"/>
        <v>0</v>
      </c>
      <c r="I188" s="62">
        <f>SUM(N$5:N$19)</f>
        <v>0</v>
      </c>
      <c r="J188" s="62" t="e" cm="1">
        <f t="array" ref="J188">K188+L188+MAX(0,-R187)*IFERROR(SUMPRODUCT(IF('2. Investicijos'!$N$5:$N$19&gt;('2. Investicijos'!$H$5:$H$19*'7. Pasirinktinis scenarijus'!$C$6),'2. Investicijos'!$N$5:$N$19-('2. Investicijos'!$H$5:$H$19*'7. Pasirinktinis scenarijus'!$C$6),0),'2. Investicijos'!$O$5:$O$19/100)/SUM(IF('2. Investicijos'!$N$5:$N$19&gt;('2. Investicijos'!$H$5:$H$19*'7. Pasirinktinis scenarijus'!$C$6),'2. Investicijos'!$N$5:$N$19-('2. Investicijos'!$H$5:$H$19*'7. Pasirinktinis scenarijus'!$C$6),0)),0)</f>
        <v>#VALUE!</v>
      </c>
      <c r="K188" s="62">
        <f>SUM(AH$5:AH$19)</f>
        <v>0</v>
      </c>
      <c r="L188" s="62">
        <f>SUM(X$5:X$19)</f>
        <v>0</v>
      </c>
      <c r="M188" s="62">
        <f>SUM(AR$5:AR$19)</f>
        <v>0</v>
      </c>
      <c r="N188" s="62">
        <f>'3. Finansinės prielaidos'!K30+M188</f>
        <v>0</v>
      </c>
      <c r="O188" s="62">
        <f>'3. Finansinės prielaidos'!K31</f>
        <v>0</v>
      </c>
      <c r="P188" s="62">
        <f>'3. Finansinės prielaidos'!K32</f>
        <v>0</v>
      </c>
      <c r="Q188" s="62" t="e">
        <f t="shared" si="69"/>
        <v>#VALUE!</v>
      </c>
      <c r="R188" s="62" t="e">
        <f>R187+('3. Finansinės prielaidos'!K31-'3. Finansinės prielaidos'!J31)+Q188</f>
        <v>#VALUE!</v>
      </c>
      <c r="S188" s="62" t="e" cm="1">
        <f t="array" ref="S188">SUMPRODUCT(--(2034&gt;'2. Investicijos'!$F$5:$F$19),--(2034&lt;='2. Investicijos'!$F$5:$F$19+'2. Investicijos'!$G$5:$G$19),IFERROR(('2. Investicijos'!$M$5:$M$19+IF('2. Investicijos'!$N$5:$N$19&gt;('2. Investicijos'!$H$5:$H$19*'7. Pasirinktinis scenarijus'!$C$6),'2. Investicijos'!$N$5:$N$19-('2. Investicijos'!$H$5:$H$19*'7. Pasirinktinis scenarijus'!$C$6),0)+('2. Investicijos'!$H$5:$H$19*'7. Pasirinktinis scenarijus'!$C$6))/'2. Investicijos'!$G$5:$G$19,0))+SUMPRODUCT(--(2034&gt;'2. Investicijos'!$F$5:$F$19),--(2034&lt;='2. Investicijos'!$F$5:$F$19+'2. Investicijos'!$G$5:$G$19),IFERROR(('2. Investicijos'!$M$5:$M$19+IF('2. Investicijos'!$N$5:$N$19&gt;('2. Investicijos'!$H$5:$H$19*'7. Pasirinktinis scenarijus'!$C$6),'2. Investicijos'!$N$5:$N$19-('2. Investicijos'!$H$5:$H$19*'7. Pasirinktinis scenarijus'!$C$6),0))*(1-((2034-'2. Investicijos'!$F$5:$F$19)-1)/'2. Investicijos'!$G$5:$G$19),0)*'5. 0% scenarijus'!$C$5)</f>
        <v>#VALUE!</v>
      </c>
      <c r="T188" s="62" t="e">
        <f>'3. Finansinės prielaidos'!K29+S188+G188</f>
        <v>#VALUE!</v>
      </c>
      <c r="U188" s="62" t="e">
        <f t="shared" si="70"/>
        <v>#VALUE!</v>
      </c>
      <c r="V188" s="72" t="e">
        <f t="shared" si="71"/>
        <v>#VALUE!</v>
      </c>
      <c r="W188" s="72" t="e">
        <f t="shared" si="72"/>
        <v>#VALUE!</v>
      </c>
      <c r="X188" s="57" t="e">
        <f t="shared" si="73"/>
        <v>#VALUE!</v>
      </c>
      <c r="Y188" s="57" t="e">
        <f t="shared" si="74"/>
        <v>#VALUE!</v>
      </c>
      <c r="Z188" s="57"/>
      <c r="AA188" s="57"/>
      <c r="AB188" s="57"/>
      <c r="AC188" s="57"/>
      <c r="AD188" s="57"/>
      <c r="AE188" s="57"/>
      <c r="AF188" s="57"/>
      <c r="AG188" s="57"/>
      <c r="AH188" s="57"/>
      <c r="AI188" s="57"/>
      <c r="AJ188" s="57"/>
      <c r="AK188" s="57"/>
      <c r="AL188" s="57"/>
      <c r="AM188" s="57"/>
      <c r="AN188" s="57"/>
      <c r="AO188" s="57"/>
      <c r="AP188" s="57"/>
      <c r="AQ188" s="57"/>
      <c r="AR188" s="57"/>
      <c r="AS188" s="57"/>
    </row>
    <row r="189" spans="1:45">
      <c r="A189" s="57">
        <v>15</v>
      </c>
      <c r="B189" s="57">
        <v>2035</v>
      </c>
      <c r="C189" s="62">
        <f>SUM('4. Metinis CAPEX'!O$9:O$23)</f>
        <v>0</v>
      </c>
      <c r="D189" s="62" cm="1">
        <f t="array" ref="D189">SUMPRODUCT('4. Metinis CAPEX'!O$9:O$23,IFERROR('2. Investicijos'!$N$5:$N$19/'2. Investicijos'!$H$5:$H$19,0))</f>
        <v>0</v>
      </c>
      <c r="E189" s="62" cm="1">
        <f t="array" ref="E189">SUMPRODUCT('4. Metinis CAPEX'!O$9:O$23,IFERROR(('2. Investicijos'!$I$5:$I$19+'2. Investicijos'!$J$5:$J$19+'2. Investicijos'!$K$5:$K$19+'2. Investicijos'!$L$5:$L$19)/'2. Investicijos'!$H$5:$H$19,0))</f>
        <v>0</v>
      </c>
      <c r="F189" s="62" cm="1">
        <f t="array" ref="F189">SUM('2. Investicijos'!$H$5:$H$19*'7. Pasirinktinis scenarijus'!$C$6)</f>
        <v>0</v>
      </c>
      <c r="G189" s="62" cm="1">
        <f t="array" ref="G189">IF(AND(2035&gt;=2026,2035&lt;2026+'7. Pasirinktinis scenarijus'!$C$5),SUM('2. Investicijos'!$H$5:$H$19*'7. Pasirinktinis scenarijus'!$C$6)/'7. Pasirinktinis scenarijus'!$C$5,0)</f>
        <v>0</v>
      </c>
      <c r="H189" s="62">
        <f t="shared" si="68"/>
        <v>0</v>
      </c>
      <c r="I189" s="62">
        <f>SUM(O$5:O$19)</f>
        <v>0</v>
      </c>
      <c r="J189" s="62" t="e" cm="1">
        <f t="array" ref="J189">K189+L189+MAX(0,-R188)*IFERROR(SUMPRODUCT(IF('2. Investicijos'!$N$5:$N$19&gt;('2. Investicijos'!$H$5:$H$19*'7. Pasirinktinis scenarijus'!$C$6),'2. Investicijos'!$N$5:$N$19-('2. Investicijos'!$H$5:$H$19*'7. Pasirinktinis scenarijus'!$C$6),0),'2. Investicijos'!$O$5:$O$19/100)/SUM(IF('2. Investicijos'!$N$5:$N$19&gt;('2. Investicijos'!$H$5:$H$19*'7. Pasirinktinis scenarijus'!$C$6),'2. Investicijos'!$N$5:$N$19-('2. Investicijos'!$H$5:$H$19*'7. Pasirinktinis scenarijus'!$C$6),0)),0)</f>
        <v>#VALUE!</v>
      </c>
      <c r="K189" s="62">
        <f>SUM(AI$5:AI$19)</f>
        <v>0</v>
      </c>
      <c r="L189" s="62">
        <f>SUM(Y$5:Y$19)</f>
        <v>0</v>
      </c>
      <c r="M189" s="62">
        <f>SUM(AS$5:AS$19)</f>
        <v>0</v>
      </c>
      <c r="N189" s="62">
        <f>'3. Finansinės prielaidos'!L30+M189</f>
        <v>0</v>
      </c>
      <c r="O189" s="62">
        <f>'3. Finansinės prielaidos'!L31</f>
        <v>0</v>
      </c>
      <c r="P189" s="62">
        <f>'3. Finansinės prielaidos'!L32</f>
        <v>0</v>
      </c>
      <c r="Q189" s="62" t="e">
        <f t="shared" si="69"/>
        <v>#VALUE!</v>
      </c>
      <c r="R189" s="62" t="e">
        <f>R188+('3. Finansinės prielaidos'!L31-'3. Finansinės prielaidos'!K31)+Q189</f>
        <v>#VALUE!</v>
      </c>
      <c r="S189" s="62" t="e" cm="1">
        <f t="array" ref="S189">SUMPRODUCT(--(2035&gt;'2. Investicijos'!$F$5:$F$19),--(2035&lt;='2. Investicijos'!$F$5:$F$19+'2. Investicijos'!$G$5:$G$19),IFERROR(('2. Investicijos'!$M$5:$M$19+IF('2. Investicijos'!$N$5:$N$19&gt;('2. Investicijos'!$H$5:$H$19*'7. Pasirinktinis scenarijus'!$C$6),'2. Investicijos'!$N$5:$N$19-('2. Investicijos'!$H$5:$H$19*'7. Pasirinktinis scenarijus'!$C$6),0)+('2. Investicijos'!$H$5:$H$19*'7. Pasirinktinis scenarijus'!$C$6))/'2. Investicijos'!$G$5:$G$19,0))+SUMPRODUCT(--(2035&gt;'2. Investicijos'!$F$5:$F$19),--(2035&lt;='2. Investicijos'!$F$5:$F$19+'2. Investicijos'!$G$5:$G$19),IFERROR(('2. Investicijos'!$M$5:$M$19+IF('2. Investicijos'!$N$5:$N$19&gt;('2. Investicijos'!$H$5:$H$19*'7. Pasirinktinis scenarijus'!$C$6),'2. Investicijos'!$N$5:$N$19-('2. Investicijos'!$H$5:$H$19*'7. Pasirinktinis scenarijus'!$C$6),0))*(1-((2035-'2. Investicijos'!$F$5:$F$19)-1)/'2. Investicijos'!$G$5:$G$19),0)*'5. 0% scenarijus'!$C$5)</f>
        <v>#VALUE!</v>
      </c>
      <c r="T189" s="62" t="e">
        <f>'3. Finansinės prielaidos'!L29+S189+G189</f>
        <v>#VALUE!</v>
      </c>
      <c r="U189" s="62" t="e">
        <f t="shared" si="70"/>
        <v>#VALUE!</v>
      </c>
      <c r="V189" s="72" t="e">
        <f t="shared" si="71"/>
        <v>#VALUE!</v>
      </c>
      <c r="W189" s="72" t="e">
        <f t="shared" si="72"/>
        <v>#VALUE!</v>
      </c>
      <c r="X189" s="57" t="e">
        <f t="shared" si="73"/>
        <v>#VALUE!</v>
      </c>
      <c r="Y189" s="57" t="e">
        <f t="shared" si="74"/>
        <v>#VALUE!</v>
      </c>
      <c r="Z189" s="57"/>
      <c r="AA189" s="57"/>
      <c r="AB189" s="57"/>
      <c r="AC189" s="57"/>
      <c r="AD189" s="57"/>
      <c r="AE189" s="57"/>
      <c r="AF189" s="57"/>
      <c r="AG189" s="57"/>
      <c r="AH189" s="57"/>
      <c r="AI189" s="57"/>
      <c r="AJ189" s="57"/>
      <c r="AK189" s="57"/>
      <c r="AL189" s="57"/>
      <c r="AM189" s="57"/>
      <c r="AN189" s="57"/>
      <c r="AO189" s="57"/>
      <c r="AP189" s="57"/>
      <c r="AQ189" s="57"/>
      <c r="AR189" s="57"/>
      <c r="AS189" s="57"/>
    </row>
    <row r="190" spans="1:45">
      <c r="A190" s="57">
        <v>16</v>
      </c>
      <c r="B190" s="57">
        <v>2026</v>
      </c>
      <c r="C190" s="62">
        <f>SUM('4. Metinis CAPEX'!F$9:F$24)</f>
        <v>0</v>
      </c>
      <c r="D190" s="62" cm="1">
        <f t="array" ref="D190">SUMPRODUCT('4. Metinis CAPEX'!F$9:F$24,IFERROR('2. Investicijos'!$N$5:$N$20/'2. Investicijos'!$H$5:$H$20,0))</f>
        <v>0</v>
      </c>
      <c r="E190" s="62" cm="1">
        <f t="array" ref="E190">SUMPRODUCT('4. Metinis CAPEX'!F$9:F$24,IFERROR(('2. Investicijos'!$I$5:$I$20+'2. Investicijos'!$J$5:$J$20+'2. Investicijos'!$K$5:$K$20+'2. Investicijos'!$L$5:$L$20)/'2. Investicijos'!$H$5:$H$20,0))</f>
        <v>0</v>
      </c>
      <c r="F190" s="62" cm="1">
        <f t="array" ref="F190">SUM('2. Investicijos'!$H$5:$H$20*'7. Pasirinktinis scenarijus'!$C$6)</f>
        <v>0</v>
      </c>
      <c r="G190" s="62" cm="1">
        <f t="array" ref="G190">IF(AND(2026&gt;=2026,2026&lt;2026+'7. Pasirinktinis scenarijus'!$C$5),SUM('2. Investicijos'!$H$5:$H$20*'7. Pasirinktinis scenarijus'!$C$6)/'7. Pasirinktinis scenarijus'!$C$5,0)</f>
        <v>0</v>
      </c>
      <c r="H190" s="62">
        <f t="shared" si="68"/>
        <v>0</v>
      </c>
      <c r="I190" s="62">
        <f>SUM(F$5:F$20)</f>
        <v>0</v>
      </c>
      <c r="J190" s="62">
        <f>0</f>
        <v>0</v>
      </c>
      <c r="K190" s="62">
        <f>SUM(Z$5:Z$20)</f>
        <v>0</v>
      </c>
      <c r="L190" s="62">
        <f>SUM(P$5:P$20)</f>
        <v>0</v>
      </c>
      <c r="M190" s="62">
        <f>SUM(AJ$5:AJ$20)</f>
        <v>0</v>
      </c>
      <c r="N190" s="62">
        <f>'3. Finansinės prielaidos'!C30+M190</f>
        <v>0</v>
      </c>
      <c r="O190" s="62">
        <f>'3. Finansinės prielaidos'!C31</f>
        <v>0</v>
      </c>
      <c r="P190" s="62">
        <f>'3. Finansinės prielaidos'!C32</f>
        <v>0</v>
      </c>
      <c r="Q190" s="62" t="e">
        <f t="shared" si="69"/>
        <v>#VALUE!</v>
      </c>
      <c r="R190" s="62" t="e">
        <f>O190+Q190</f>
        <v>#VALUE!</v>
      </c>
      <c r="S190" s="62" t="e" cm="1">
        <f t="array" ref="S190">SUMPRODUCT(--(2026&gt;'2. Investicijos'!$F$5:$F$20),--(2026&lt;='2. Investicijos'!$F$5:$F$20+'2. Investicijos'!$G$5:$G$20),IFERROR(('2. Investicijos'!$M$5:$M$20+IF('2. Investicijos'!$N$5:$N$20&gt;('2. Investicijos'!$H$5:$H$20*'7. Pasirinktinis scenarijus'!$C$6),'2. Investicijos'!$N$5:$N$20-('2. Investicijos'!$H$5:$H$20*'7. Pasirinktinis scenarijus'!$C$6),0)+('2. Investicijos'!$H$5:$H$20*'7. Pasirinktinis scenarijus'!$C$6))/'2. Investicijos'!$G$5:$G$20,0))+SUMPRODUCT(--(2026&gt;'2. Investicijos'!$F$5:$F$20),--(2026&lt;='2. Investicijos'!$F$5:$F$20+'2. Investicijos'!$G$5:$G$20),IFERROR(('2. Investicijos'!$M$5:$M$20+IF('2. Investicijos'!$N$5:$N$20&gt;('2. Investicijos'!$H$5:$H$20*'7. Pasirinktinis scenarijus'!$C$6),'2. Investicijos'!$N$5:$N$20-('2. Investicijos'!$H$5:$H$20*'7. Pasirinktinis scenarijus'!$C$6),0))*(1-((2026-'2. Investicijos'!$F$5:$F$20)-1)/'2. Investicijos'!$G$5:$G$20),0)*'5. 0% scenarijus'!$C$5)</f>
        <v>#VALUE!</v>
      </c>
      <c r="T190" s="62" t="e">
        <f>'3. Finansinės prielaidos'!C29+S190+G190</f>
        <v>#VALUE!</v>
      </c>
      <c r="U190" s="62" t="e">
        <f t="shared" si="70"/>
        <v>#VALUE!</v>
      </c>
      <c r="V190" s="72" t="e">
        <f t="shared" si="71"/>
        <v>#VALUE!</v>
      </c>
      <c r="W190" s="72" t="e">
        <f t="shared" si="72"/>
        <v>#VALUE!</v>
      </c>
      <c r="X190" s="57" t="e">
        <f t="shared" si="73"/>
        <v>#VALUE!</v>
      </c>
      <c r="Y190" s="57" t="e">
        <f t="shared" si="74"/>
        <v>#VALUE!</v>
      </c>
      <c r="Z190" s="57"/>
      <c r="AA190" s="57"/>
      <c r="AB190" s="57"/>
      <c r="AC190" s="57"/>
      <c r="AD190" s="57"/>
      <c r="AE190" s="57"/>
      <c r="AF190" s="57"/>
      <c r="AG190" s="57"/>
      <c r="AH190" s="57"/>
      <c r="AI190" s="57"/>
      <c r="AJ190" s="57"/>
      <c r="AK190" s="57"/>
      <c r="AL190" s="57"/>
      <c r="AM190" s="57"/>
      <c r="AN190" s="57"/>
      <c r="AO190" s="57"/>
      <c r="AP190" s="57"/>
      <c r="AQ190" s="57"/>
      <c r="AR190" s="57"/>
      <c r="AS190" s="57"/>
    </row>
    <row r="191" spans="1:45">
      <c r="A191" s="57">
        <v>16</v>
      </c>
      <c r="B191" s="57">
        <v>2027</v>
      </c>
      <c r="C191" s="62">
        <f>SUM('4. Metinis CAPEX'!G$9:G$24)</f>
        <v>0</v>
      </c>
      <c r="D191" s="62" cm="1">
        <f t="array" ref="D191">SUMPRODUCT('4. Metinis CAPEX'!G$9:G$24,IFERROR('2. Investicijos'!$N$5:$N$20/'2. Investicijos'!$H$5:$H$20,0))</f>
        <v>0</v>
      </c>
      <c r="E191" s="62" cm="1">
        <f t="array" ref="E191">SUMPRODUCT('4. Metinis CAPEX'!G$9:G$24,IFERROR(('2. Investicijos'!$I$5:$I$20+'2. Investicijos'!$J$5:$J$20+'2. Investicijos'!$K$5:$K$20+'2. Investicijos'!$L$5:$L$20)/'2. Investicijos'!$H$5:$H$20,0))</f>
        <v>0</v>
      </c>
      <c r="F191" s="62" cm="1">
        <f t="array" ref="F191">SUM('2. Investicijos'!$H$5:$H$20*'7. Pasirinktinis scenarijus'!$C$6)</f>
        <v>0</v>
      </c>
      <c r="G191" s="62" cm="1">
        <f t="array" ref="G191">IF(AND(2027&gt;=2026,2027&lt;2026+'7. Pasirinktinis scenarijus'!$C$5),SUM('2. Investicijos'!$H$5:$H$20*'7. Pasirinktinis scenarijus'!$C$6)/'7. Pasirinktinis scenarijus'!$C$5,0)</f>
        <v>0</v>
      </c>
      <c r="H191" s="62">
        <f t="shared" si="68"/>
        <v>0</v>
      </c>
      <c r="I191" s="62">
        <f>SUM(G$5:G$20)</f>
        <v>0</v>
      </c>
      <c r="J191" s="62" t="e" cm="1">
        <f t="array" ref="J191">K191+L191+MAX(0,-R190)*IFERROR(SUMPRODUCT(IF('2. Investicijos'!$N$5:$N$20&gt;('2. Investicijos'!$H$5:$H$20*'7. Pasirinktinis scenarijus'!$C$6),'2. Investicijos'!$N$5:$N$20-('2. Investicijos'!$H$5:$H$20*'7. Pasirinktinis scenarijus'!$C$6),0),'2. Investicijos'!$O$5:$O$20/100)/SUM(IF('2. Investicijos'!$N$5:$N$20&gt;('2. Investicijos'!$H$5:$H$20*'7. Pasirinktinis scenarijus'!$C$6),'2. Investicijos'!$N$5:$N$20-('2. Investicijos'!$H$5:$H$20*'7. Pasirinktinis scenarijus'!$C$6),0)),0)</f>
        <v>#VALUE!</v>
      </c>
      <c r="K191" s="62">
        <f>SUM(AA$5:AA$20)</f>
        <v>0</v>
      </c>
      <c r="L191" s="62">
        <f>SUM(Q$5:Q$20)</f>
        <v>0</v>
      </c>
      <c r="M191" s="62">
        <f>SUM(AK$5:AK$20)</f>
        <v>0</v>
      </c>
      <c r="N191" s="62">
        <f>'3. Finansinės prielaidos'!D30+M191</f>
        <v>0</v>
      </c>
      <c r="O191" s="62">
        <f>'3. Finansinės prielaidos'!D31</f>
        <v>0</v>
      </c>
      <c r="P191" s="62">
        <f>'3. Finansinės prielaidos'!D32</f>
        <v>0</v>
      </c>
      <c r="Q191" s="62" t="e">
        <f t="shared" si="69"/>
        <v>#VALUE!</v>
      </c>
      <c r="R191" s="62" t="e">
        <f>R190+('3. Finansinės prielaidos'!D31-'3. Finansinės prielaidos'!C31)+Q191</f>
        <v>#VALUE!</v>
      </c>
      <c r="S191" s="62" t="e" cm="1">
        <f t="array" ref="S191">SUMPRODUCT(--(2027&gt;'2. Investicijos'!$F$5:$F$20),--(2027&lt;='2. Investicijos'!$F$5:$F$20+'2. Investicijos'!$G$5:$G$20),IFERROR(('2. Investicijos'!$M$5:$M$20+IF('2. Investicijos'!$N$5:$N$20&gt;('2. Investicijos'!$H$5:$H$20*'7. Pasirinktinis scenarijus'!$C$6),'2. Investicijos'!$N$5:$N$20-('2. Investicijos'!$H$5:$H$20*'7. Pasirinktinis scenarijus'!$C$6),0)+('2. Investicijos'!$H$5:$H$20*'7. Pasirinktinis scenarijus'!$C$6))/'2. Investicijos'!$G$5:$G$20,0))+SUMPRODUCT(--(2027&gt;'2. Investicijos'!$F$5:$F$20),--(2027&lt;='2. Investicijos'!$F$5:$F$20+'2. Investicijos'!$G$5:$G$20),IFERROR(('2. Investicijos'!$M$5:$M$20+IF('2. Investicijos'!$N$5:$N$20&gt;('2. Investicijos'!$H$5:$H$20*'7. Pasirinktinis scenarijus'!$C$6),'2. Investicijos'!$N$5:$N$20-('2. Investicijos'!$H$5:$H$20*'7. Pasirinktinis scenarijus'!$C$6),0))*(1-((2027-'2. Investicijos'!$F$5:$F$20)-1)/'2. Investicijos'!$G$5:$G$20),0)*'5. 0% scenarijus'!$C$5)</f>
        <v>#VALUE!</v>
      </c>
      <c r="T191" s="62" t="e">
        <f>'3. Finansinės prielaidos'!D29+S191+G191</f>
        <v>#VALUE!</v>
      </c>
      <c r="U191" s="62" t="e">
        <f t="shared" si="70"/>
        <v>#VALUE!</v>
      </c>
      <c r="V191" s="72" t="e">
        <f t="shared" si="71"/>
        <v>#VALUE!</v>
      </c>
      <c r="W191" s="72" t="e">
        <f t="shared" si="72"/>
        <v>#VALUE!</v>
      </c>
      <c r="X191" s="57" t="e">
        <f t="shared" si="73"/>
        <v>#VALUE!</v>
      </c>
      <c r="Y191" s="57" t="e">
        <f t="shared" si="74"/>
        <v>#VALUE!</v>
      </c>
      <c r="Z191" s="57"/>
      <c r="AA191" s="57"/>
      <c r="AB191" s="57"/>
      <c r="AC191" s="57"/>
      <c r="AD191" s="57"/>
      <c r="AE191" s="57"/>
      <c r="AF191" s="57"/>
      <c r="AG191" s="57"/>
      <c r="AH191" s="57"/>
      <c r="AI191" s="57"/>
      <c r="AJ191" s="57"/>
      <c r="AK191" s="57"/>
      <c r="AL191" s="57"/>
      <c r="AM191" s="57"/>
      <c r="AN191" s="57"/>
      <c r="AO191" s="57"/>
      <c r="AP191" s="57"/>
      <c r="AQ191" s="57"/>
      <c r="AR191" s="57"/>
      <c r="AS191" s="57"/>
    </row>
    <row r="192" spans="1:45">
      <c r="A192" s="57">
        <v>16</v>
      </c>
      <c r="B192" s="57">
        <v>2028</v>
      </c>
      <c r="C192" s="62">
        <f>SUM('4. Metinis CAPEX'!H$9:H$24)</f>
        <v>0</v>
      </c>
      <c r="D192" s="62" cm="1">
        <f t="array" ref="D192">SUMPRODUCT('4. Metinis CAPEX'!H$9:H$24,IFERROR('2. Investicijos'!$N$5:$N$20/'2. Investicijos'!$H$5:$H$20,0))</f>
        <v>0</v>
      </c>
      <c r="E192" s="62" cm="1">
        <f t="array" ref="E192">SUMPRODUCT('4. Metinis CAPEX'!H$9:H$24,IFERROR(('2. Investicijos'!$I$5:$I$20+'2. Investicijos'!$J$5:$J$20+'2. Investicijos'!$K$5:$K$20+'2. Investicijos'!$L$5:$L$20)/'2. Investicijos'!$H$5:$H$20,0))</f>
        <v>0</v>
      </c>
      <c r="F192" s="62" cm="1">
        <f t="array" ref="F192">SUM('2. Investicijos'!$H$5:$H$20*'7. Pasirinktinis scenarijus'!$C$6)</f>
        <v>0</v>
      </c>
      <c r="G192" s="62" cm="1">
        <f t="array" ref="G192">IF(AND(2028&gt;=2026,2028&lt;2026+'7. Pasirinktinis scenarijus'!$C$5),SUM('2. Investicijos'!$H$5:$H$20*'7. Pasirinktinis scenarijus'!$C$6)/'7. Pasirinktinis scenarijus'!$C$5,0)</f>
        <v>0</v>
      </c>
      <c r="H192" s="62">
        <f t="shared" si="68"/>
        <v>0</v>
      </c>
      <c r="I192" s="62">
        <f>SUM(H$5:H$20)</f>
        <v>0</v>
      </c>
      <c r="J192" s="62" t="e" cm="1">
        <f t="array" ref="J192">K192+L192+MAX(0,-R191)*IFERROR(SUMPRODUCT(IF('2. Investicijos'!$N$5:$N$20&gt;('2. Investicijos'!$H$5:$H$20*'7. Pasirinktinis scenarijus'!$C$6),'2. Investicijos'!$N$5:$N$20-('2. Investicijos'!$H$5:$H$20*'7. Pasirinktinis scenarijus'!$C$6),0),'2. Investicijos'!$O$5:$O$20/100)/SUM(IF('2. Investicijos'!$N$5:$N$20&gt;('2. Investicijos'!$H$5:$H$20*'7. Pasirinktinis scenarijus'!$C$6),'2. Investicijos'!$N$5:$N$20-('2. Investicijos'!$H$5:$H$20*'7. Pasirinktinis scenarijus'!$C$6),0)),0)</f>
        <v>#VALUE!</v>
      </c>
      <c r="K192" s="62">
        <f>SUM(AB$5:AB$20)</f>
        <v>0</v>
      </c>
      <c r="L192" s="62">
        <f>SUM(R$5:R$20)</f>
        <v>0</v>
      </c>
      <c r="M192" s="62">
        <f>SUM(AL$5:AL$20)</f>
        <v>0</v>
      </c>
      <c r="N192" s="62">
        <f>'3. Finansinės prielaidos'!E30+M192</f>
        <v>0</v>
      </c>
      <c r="O192" s="62">
        <f>'3. Finansinės prielaidos'!E31</f>
        <v>0</v>
      </c>
      <c r="P192" s="62">
        <f>'3. Finansinės prielaidos'!E32</f>
        <v>0</v>
      </c>
      <c r="Q192" s="62" t="e">
        <f t="shared" si="69"/>
        <v>#VALUE!</v>
      </c>
      <c r="R192" s="62" t="e">
        <f>R191+('3. Finansinės prielaidos'!E31-'3. Finansinės prielaidos'!D31)+Q192</f>
        <v>#VALUE!</v>
      </c>
      <c r="S192" s="62" t="e" cm="1">
        <f t="array" ref="S192">SUMPRODUCT(--(2028&gt;'2. Investicijos'!$F$5:$F$20),--(2028&lt;='2. Investicijos'!$F$5:$F$20+'2. Investicijos'!$G$5:$G$20),IFERROR(('2. Investicijos'!$M$5:$M$20+IF('2. Investicijos'!$N$5:$N$20&gt;('2. Investicijos'!$H$5:$H$20*'7. Pasirinktinis scenarijus'!$C$6),'2. Investicijos'!$N$5:$N$20-('2. Investicijos'!$H$5:$H$20*'7. Pasirinktinis scenarijus'!$C$6),0)+('2. Investicijos'!$H$5:$H$20*'7. Pasirinktinis scenarijus'!$C$6))/'2. Investicijos'!$G$5:$G$20,0))+SUMPRODUCT(--(2028&gt;'2. Investicijos'!$F$5:$F$20),--(2028&lt;='2. Investicijos'!$F$5:$F$20+'2. Investicijos'!$G$5:$G$20),IFERROR(('2. Investicijos'!$M$5:$M$20+IF('2. Investicijos'!$N$5:$N$20&gt;('2. Investicijos'!$H$5:$H$20*'7. Pasirinktinis scenarijus'!$C$6),'2. Investicijos'!$N$5:$N$20-('2. Investicijos'!$H$5:$H$20*'7. Pasirinktinis scenarijus'!$C$6),0))*(1-((2028-'2. Investicijos'!$F$5:$F$20)-1)/'2. Investicijos'!$G$5:$G$20),0)*'5. 0% scenarijus'!$C$5)</f>
        <v>#VALUE!</v>
      </c>
      <c r="T192" s="62" t="e">
        <f>'3. Finansinės prielaidos'!E29+S192+G192</f>
        <v>#VALUE!</v>
      </c>
      <c r="U192" s="62" t="e">
        <f t="shared" si="70"/>
        <v>#VALUE!</v>
      </c>
      <c r="V192" s="72" t="e">
        <f t="shared" si="71"/>
        <v>#VALUE!</v>
      </c>
      <c r="W192" s="72" t="e">
        <f t="shared" si="72"/>
        <v>#VALUE!</v>
      </c>
      <c r="X192" s="57" t="e">
        <f t="shared" si="73"/>
        <v>#VALUE!</v>
      </c>
      <c r="Y192" s="57" t="e">
        <f t="shared" si="74"/>
        <v>#VALUE!</v>
      </c>
      <c r="Z192" s="57"/>
      <c r="AA192" s="57"/>
      <c r="AB192" s="57"/>
      <c r="AC192" s="57"/>
      <c r="AD192" s="57"/>
      <c r="AE192" s="57"/>
      <c r="AF192" s="57"/>
      <c r="AG192" s="57"/>
      <c r="AH192" s="57"/>
      <c r="AI192" s="57"/>
      <c r="AJ192" s="57"/>
      <c r="AK192" s="57"/>
      <c r="AL192" s="57"/>
      <c r="AM192" s="57"/>
      <c r="AN192" s="57"/>
      <c r="AO192" s="57"/>
      <c r="AP192" s="57"/>
      <c r="AQ192" s="57"/>
      <c r="AR192" s="57"/>
      <c r="AS192" s="57"/>
    </row>
    <row r="193" spans="1:45">
      <c r="A193" s="57">
        <v>16</v>
      </c>
      <c r="B193" s="57">
        <v>2029</v>
      </c>
      <c r="C193" s="62">
        <f>SUM('4. Metinis CAPEX'!I$9:I$24)</f>
        <v>0</v>
      </c>
      <c r="D193" s="62" cm="1">
        <f t="array" ref="D193">SUMPRODUCT('4. Metinis CAPEX'!I$9:I$24,IFERROR('2. Investicijos'!$N$5:$N$20/'2. Investicijos'!$H$5:$H$20,0))</f>
        <v>0</v>
      </c>
      <c r="E193" s="62" cm="1">
        <f t="array" ref="E193">SUMPRODUCT('4. Metinis CAPEX'!I$9:I$24,IFERROR(('2. Investicijos'!$I$5:$I$20+'2. Investicijos'!$J$5:$J$20+'2. Investicijos'!$K$5:$K$20+'2. Investicijos'!$L$5:$L$20)/'2. Investicijos'!$H$5:$H$20,0))</f>
        <v>0</v>
      </c>
      <c r="F193" s="62" cm="1">
        <f t="array" ref="F193">SUM('2. Investicijos'!$H$5:$H$20*'7. Pasirinktinis scenarijus'!$C$6)</f>
        <v>0</v>
      </c>
      <c r="G193" s="62" cm="1">
        <f t="array" ref="G193">IF(AND(2029&gt;=2026,2029&lt;2026+'7. Pasirinktinis scenarijus'!$C$5),SUM('2. Investicijos'!$H$5:$H$20*'7. Pasirinktinis scenarijus'!$C$6)/'7. Pasirinktinis scenarijus'!$C$5,0)</f>
        <v>0</v>
      </c>
      <c r="H193" s="62">
        <f t="shared" si="68"/>
        <v>0</v>
      </c>
      <c r="I193" s="62">
        <f>SUM(I$5:I$20)</f>
        <v>0</v>
      </c>
      <c r="J193" s="62" t="e" cm="1">
        <f t="array" ref="J193">K193+L193+MAX(0,-R192)*IFERROR(SUMPRODUCT(IF('2. Investicijos'!$N$5:$N$20&gt;('2. Investicijos'!$H$5:$H$20*'7. Pasirinktinis scenarijus'!$C$6),'2. Investicijos'!$N$5:$N$20-('2. Investicijos'!$H$5:$H$20*'7. Pasirinktinis scenarijus'!$C$6),0),'2. Investicijos'!$O$5:$O$20/100)/SUM(IF('2. Investicijos'!$N$5:$N$20&gt;('2. Investicijos'!$H$5:$H$20*'7. Pasirinktinis scenarijus'!$C$6),'2. Investicijos'!$N$5:$N$20-('2. Investicijos'!$H$5:$H$20*'7. Pasirinktinis scenarijus'!$C$6),0)),0)</f>
        <v>#VALUE!</v>
      </c>
      <c r="K193" s="62">
        <f>SUM(AC$5:AC$20)</f>
        <v>0</v>
      </c>
      <c r="L193" s="62">
        <f>SUM(S$5:S$20)</f>
        <v>0</v>
      </c>
      <c r="M193" s="62">
        <f>SUM(AM$5:AM$20)</f>
        <v>0</v>
      </c>
      <c r="N193" s="62">
        <f>'3. Finansinės prielaidos'!F30+M193</f>
        <v>0</v>
      </c>
      <c r="O193" s="62">
        <f>'3. Finansinės prielaidos'!F31</f>
        <v>0</v>
      </c>
      <c r="P193" s="62">
        <f>'3. Finansinės prielaidos'!F32</f>
        <v>0</v>
      </c>
      <c r="Q193" s="62" t="e">
        <f t="shared" si="69"/>
        <v>#VALUE!</v>
      </c>
      <c r="R193" s="62" t="e">
        <f>R192+('3. Finansinės prielaidos'!F31-'3. Finansinės prielaidos'!E31)+Q193</f>
        <v>#VALUE!</v>
      </c>
      <c r="S193" s="62" t="e" cm="1">
        <f t="array" ref="S193">SUMPRODUCT(--(2029&gt;'2. Investicijos'!$F$5:$F$20),--(2029&lt;='2. Investicijos'!$F$5:$F$20+'2. Investicijos'!$G$5:$G$20),IFERROR(('2. Investicijos'!$M$5:$M$20+IF('2. Investicijos'!$N$5:$N$20&gt;('2. Investicijos'!$H$5:$H$20*'7. Pasirinktinis scenarijus'!$C$6),'2. Investicijos'!$N$5:$N$20-('2. Investicijos'!$H$5:$H$20*'7. Pasirinktinis scenarijus'!$C$6),0)+('2. Investicijos'!$H$5:$H$20*'7. Pasirinktinis scenarijus'!$C$6))/'2. Investicijos'!$G$5:$G$20,0))+SUMPRODUCT(--(2029&gt;'2. Investicijos'!$F$5:$F$20),--(2029&lt;='2. Investicijos'!$F$5:$F$20+'2. Investicijos'!$G$5:$G$20),IFERROR(('2. Investicijos'!$M$5:$M$20+IF('2. Investicijos'!$N$5:$N$20&gt;('2. Investicijos'!$H$5:$H$20*'7. Pasirinktinis scenarijus'!$C$6),'2. Investicijos'!$N$5:$N$20-('2. Investicijos'!$H$5:$H$20*'7. Pasirinktinis scenarijus'!$C$6),0))*(1-((2029-'2. Investicijos'!$F$5:$F$20)-1)/'2. Investicijos'!$G$5:$G$20),0)*'5. 0% scenarijus'!$C$5)</f>
        <v>#VALUE!</v>
      </c>
      <c r="T193" s="62" t="e">
        <f>'3. Finansinės prielaidos'!F29+S193+G193</f>
        <v>#VALUE!</v>
      </c>
      <c r="U193" s="62" t="e">
        <f t="shared" si="70"/>
        <v>#VALUE!</v>
      </c>
      <c r="V193" s="72" t="e">
        <f t="shared" si="71"/>
        <v>#VALUE!</v>
      </c>
      <c r="W193" s="72" t="e">
        <f t="shared" si="72"/>
        <v>#VALUE!</v>
      </c>
      <c r="X193" s="57" t="e">
        <f t="shared" si="73"/>
        <v>#VALUE!</v>
      </c>
      <c r="Y193" s="57" t="e">
        <f t="shared" si="74"/>
        <v>#VALUE!</v>
      </c>
      <c r="Z193" s="57"/>
      <c r="AA193" s="57"/>
      <c r="AB193" s="57"/>
      <c r="AC193" s="57"/>
      <c r="AD193" s="57"/>
      <c r="AE193" s="57"/>
      <c r="AF193" s="57"/>
      <c r="AG193" s="57"/>
      <c r="AH193" s="57"/>
      <c r="AI193" s="57"/>
      <c r="AJ193" s="57"/>
      <c r="AK193" s="57"/>
      <c r="AL193" s="57"/>
      <c r="AM193" s="57"/>
      <c r="AN193" s="57"/>
      <c r="AO193" s="57"/>
      <c r="AP193" s="57"/>
      <c r="AQ193" s="57"/>
      <c r="AR193" s="57"/>
      <c r="AS193" s="57"/>
    </row>
    <row r="194" spans="1:45">
      <c r="A194" s="57">
        <v>16</v>
      </c>
      <c r="B194" s="57">
        <v>2030</v>
      </c>
      <c r="C194" s="62">
        <f>SUM('4. Metinis CAPEX'!J$9:J$24)</f>
        <v>0</v>
      </c>
      <c r="D194" s="62" cm="1">
        <f t="array" ref="D194">SUMPRODUCT('4. Metinis CAPEX'!J$9:J$24,IFERROR('2. Investicijos'!$N$5:$N$20/'2. Investicijos'!$H$5:$H$20,0))</f>
        <v>0</v>
      </c>
      <c r="E194" s="62" cm="1">
        <f t="array" ref="E194">SUMPRODUCT('4. Metinis CAPEX'!J$9:J$24,IFERROR(('2. Investicijos'!$I$5:$I$20+'2. Investicijos'!$J$5:$J$20+'2. Investicijos'!$K$5:$K$20+'2. Investicijos'!$L$5:$L$20)/'2. Investicijos'!$H$5:$H$20,0))</f>
        <v>0</v>
      </c>
      <c r="F194" s="62" cm="1">
        <f t="array" ref="F194">SUM('2. Investicijos'!$H$5:$H$20*'7. Pasirinktinis scenarijus'!$C$6)</f>
        <v>0</v>
      </c>
      <c r="G194" s="62" cm="1">
        <f t="array" ref="G194">IF(AND(2030&gt;=2026,2030&lt;2026+'7. Pasirinktinis scenarijus'!$C$5),SUM('2. Investicijos'!$H$5:$H$20*'7. Pasirinktinis scenarijus'!$C$6)/'7. Pasirinktinis scenarijus'!$C$5,0)</f>
        <v>0</v>
      </c>
      <c r="H194" s="62">
        <f t="shared" si="68"/>
        <v>0</v>
      </c>
      <c r="I194" s="62">
        <f>SUM(J$5:J$20)</f>
        <v>0</v>
      </c>
      <c r="J194" s="62" t="e" cm="1">
        <f t="array" ref="J194">K194+L194+MAX(0,-R193)*IFERROR(SUMPRODUCT(IF('2. Investicijos'!$N$5:$N$20&gt;('2. Investicijos'!$H$5:$H$20*'7. Pasirinktinis scenarijus'!$C$6),'2. Investicijos'!$N$5:$N$20-('2. Investicijos'!$H$5:$H$20*'7. Pasirinktinis scenarijus'!$C$6),0),'2. Investicijos'!$O$5:$O$20/100)/SUM(IF('2. Investicijos'!$N$5:$N$20&gt;('2. Investicijos'!$H$5:$H$20*'7. Pasirinktinis scenarijus'!$C$6),'2. Investicijos'!$N$5:$N$20-('2. Investicijos'!$H$5:$H$20*'7. Pasirinktinis scenarijus'!$C$6),0)),0)</f>
        <v>#VALUE!</v>
      </c>
      <c r="K194" s="62">
        <f>SUM(AD$5:AD$20)</f>
        <v>0</v>
      </c>
      <c r="L194" s="62">
        <f>SUM(T$5:T$20)</f>
        <v>0</v>
      </c>
      <c r="M194" s="62">
        <f>SUM(AN$5:AN$20)</f>
        <v>0</v>
      </c>
      <c r="N194" s="62">
        <f>'3. Finansinės prielaidos'!G30+M194</f>
        <v>0</v>
      </c>
      <c r="O194" s="62">
        <f>'3. Finansinės prielaidos'!G31</f>
        <v>0</v>
      </c>
      <c r="P194" s="62">
        <f>'3. Finansinės prielaidos'!G32</f>
        <v>0</v>
      </c>
      <c r="Q194" s="62" t="e">
        <f t="shared" si="69"/>
        <v>#VALUE!</v>
      </c>
      <c r="R194" s="62" t="e">
        <f>R193+('3. Finansinės prielaidos'!G31-'3. Finansinės prielaidos'!F31)+Q194</f>
        <v>#VALUE!</v>
      </c>
      <c r="S194" s="62" t="e" cm="1">
        <f t="array" ref="S194">SUMPRODUCT(--(2030&gt;'2. Investicijos'!$F$5:$F$20),--(2030&lt;='2. Investicijos'!$F$5:$F$20+'2. Investicijos'!$G$5:$G$20),IFERROR(('2. Investicijos'!$M$5:$M$20+IF('2. Investicijos'!$N$5:$N$20&gt;('2. Investicijos'!$H$5:$H$20*'7. Pasirinktinis scenarijus'!$C$6),'2. Investicijos'!$N$5:$N$20-('2. Investicijos'!$H$5:$H$20*'7. Pasirinktinis scenarijus'!$C$6),0)+('2. Investicijos'!$H$5:$H$20*'7. Pasirinktinis scenarijus'!$C$6))/'2. Investicijos'!$G$5:$G$20,0))+SUMPRODUCT(--(2030&gt;'2. Investicijos'!$F$5:$F$20),--(2030&lt;='2. Investicijos'!$F$5:$F$20+'2. Investicijos'!$G$5:$G$20),IFERROR(('2. Investicijos'!$M$5:$M$20+IF('2. Investicijos'!$N$5:$N$20&gt;('2. Investicijos'!$H$5:$H$20*'7. Pasirinktinis scenarijus'!$C$6),'2. Investicijos'!$N$5:$N$20-('2. Investicijos'!$H$5:$H$20*'7. Pasirinktinis scenarijus'!$C$6),0))*(1-((2030-'2. Investicijos'!$F$5:$F$20)-1)/'2. Investicijos'!$G$5:$G$20),0)*'5. 0% scenarijus'!$C$5)</f>
        <v>#VALUE!</v>
      </c>
      <c r="T194" s="62" t="e">
        <f>'3. Finansinės prielaidos'!G29+S194+G194</f>
        <v>#VALUE!</v>
      </c>
      <c r="U194" s="62" t="e">
        <f t="shared" si="70"/>
        <v>#VALUE!</v>
      </c>
      <c r="V194" s="72" t="e">
        <f t="shared" si="71"/>
        <v>#VALUE!</v>
      </c>
      <c r="W194" s="72" t="e">
        <f t="shared" si="72"/>
        <v>#VALUE!</v>
      </c>
      <c r="X194" s="57" t="e">
        <f t="shared" si="73"/>
        <v>#VALUE!</v>
      </c>
      <c r="Y194" s="57" t="e">
        <f t="shared" si="74"/>
        <v>#VALUE!</v>
      </c>
      <c r="Z194" s="57"/>
      <c r="AA194" s="57"/>
      <c r="AB194" s="57"/>
      <c r="AC194" s="57"/>
      <c r="AD194" s="57"/>
      <c r="AE194" s="57"/>
      <c r="AF194" s="57"/>
      <c r="AG194" s="57"/>
      <c r="AH194" s="57"/>
      <c r="AI194" s="57"/>
      <c r="AJ194" s="57"/>
      <c r="AK194" s="57"/>
      <c r="AL194" s="57"/>
      <c r="AM194" s="57"/>
      <c r="AN194" s="57"/>
      <c r="AO194" s="57"/>
      <c r="AP194" s="57"/>
      <c r="AQ194" s="57"/>
      <c r="AR194" s="57"/>
      <c r="AS194" s="57"/>
    </row>
    <row r="195" spans="1:45">
      <c r="A195" s="57">
        <v>16</v>
      </c>
      <c r="B195" s="57">
        <v>2031</v>
      </c>
      <c r="C195" s="62">
        <f>SUM('4. Metinis CAPEX'!K$9:K$24)</f>
        <v>0</v>
      </c>
      <c r="D195" s="62" cm="1">
        <f t="array" ref="D195">SUMPRODUCT('4. Metinis CAPEX'!K$9:K$24,IFERROR('2. Investicijos'!$N$5:$N$20/'2. Investicijos'!$H$5:$H$20,0))</f>
        <v>0</v>
      </c>
      <c r="E195" s="62" cm="1">
        <f t="array" ref="E195">SUMPRODUCT('4. Metinis CAPEX'!K$9:K$24,IFERROR(('2. Investicijos'!$I$5:$I$20+'2. Investicijos'!$J$5:$J$20+'2. Investicijos'!$K$5:$K$20+'2. Investicijos'!$L$5:$L$20)/'2. Investicijos'!$H$5:$H$20,0))</f>
        <v>0</v>
      </c>
      <c r="F195" s="62" cm="1">
        <f t="array" ref="F195">SUM('2. Investicijos'!$H$5:$H$20*'7. Pasirinktinis scenarijus'!$C$6)</f>
        <v>0</v>
      </c>
      <c r="G195" s="62" cm="1">
        <f t="array" ref="G195">IF(AND(2031&gt;=2026,2031&lt;2026+'7. Pasirinktinis scenarijus'!$C$5),SUM('2. Investicijos'!$H$5:$H$20*'7. Pasirinktinis scenarijus'!$C$6)/'7. Pasirinktinis scenarijus'!$C$5,0)</f>
        <v>0</v>
      </c>
      <c r="H195" s="62">
        <f t="shared" si="68"/>
        <v>0</v>
      </c>
      <c r="I195" s="62">
        <f>SUM(K$5:K$20)</f>
        <v>0</v>
      </c>
      <c r="J195" s="62" t="e" cm="1">
        <f t="array" ref="J195">K195+L195+MAX(0,-R194)*IFERROR(SUMPRODUCT(IF('2. Investicijos'!$N$5:$N$20&gt;('2. Investicijos'!$H$5:$H$20*'7. Pasirinktinis scenarijus'!$C$6),'2. Investicijos'!$N$5:$N$20-('2. Investicijos'!$H$5:$H$20*'7. Pasirinktinis scenarijus'!$C$6),0),'2. Investicijos'!$O$5:$O$20/100)/SUM(IF('2. Investicijos'!$N$5:$N$20&gt;('2. Investicijos'!$H$5:$H$20*'7. Pasirinktinis scenarijus'!$C$6),'2. Investicijos'!$N$5:$N$20-('2. Investicijos'!$H$5:$H$20*'7. Pasirinktinis scenarijus'!$C$6),0)),0)</f>
        <v>#VALUE!</v>
      </c>
      <c r="K195" s="62">
        <f>SUM(AE$5:AE$20)</f>
        <v>0</v>
      </c>
      <c r="L195" s="62">
        <f>SUM(U$5:U$20)</f>
        <v>0</v>
      </c>
      <c r="M195" s="62">
        <f>SUM(AO$5:AO$20)</f>
        <v>0</v>
      </c>
      <c r="N195" s="62">
        <f>'3. Finansinės prielaidos'!H30+M195</f>
        <v>0</v>
      </c>
      <c r="O195" s="62">
        <f>'3. Finansinės prielaidos'!H31</f>
        <v>0</v>
      </c>
      <c r="P195" s="62">
        <f>'3. Finansinės prielaidos'!H32</f>
        <v>0</v>
      </c>
      <c r="Q195" s="62" t="e">
        <f t="shared" si="69"/>
        <v>#VALUE!</v>
      </c>
      <c r="R195" s="62" t="e">
        <f>R194+('3. Finansinės prielaidos'!H31-'3. Finansinės prielaidos'!G31)+Q195</f>
        <v>#VALUE!</v>
      </c>
      <c r="S195" s="62" t="e" cm="1">
        <f t="array" ref="S195">SUMPRODUCT(--(2031&gt;'2. Investicijos'!$F$5:$F$20),--(2031&lt;='2. Investicijos'!$F$5:$F$20+'2. Investicijos'!$G$5:$G$20),IFERROR(('2. Investicijos'!$M$5:$M$20+IF('2. Investicijos'!$N$5:$N$20&gt;('2. Investicijos'!$H$5:$H$20*'7. Pasirinktinis scenarijus'!$C$6),'2. Investicijos'!$N$5:$N$20-('2. Investicijos'!$H$5:$H$20*'7. Pasirinktinis scenarijus'!$C$6),0)+('2. Investicijos'!$H$5:$H$20*'7. Pasirinktinis scenarijus'!$C$6))/'2. Investicijos'!$G$5:$G$20,0))+SUMPRODUCT(--(2031&gt;'2. Investicijos'!$F$5:$F$20),--(2031&lt;='2. Investicijos'!$F$5:$F$20+'2. Investicijos'!$G$5:$G$20),IFERROR(('2. Investicijos'!$M$5:$M$20+IF('2. Investicijos'!$N$5:$N$20&gt;('2. Investicijos'!$H$5:$H$20*'7. Pasirinktinis scenarijus'!$C$6),'2. Investicijos'!$N$5:$N$20-('2. Investicijos'!$H$5:$H$20*'7. Pasirinktinis scenarijus'!$C$6),0))*(1-((2031-'2. Investicijos'!$F$5:$F$20)-1)/'2. Investicijos'!$G$5:$G$20),0)*'5. 0% scenarijus'!$C$5)</f>
        <v>#VALUE!</v>
      </c>
      <c r="T195" s="62" t="e">
        <f>'3. Finansinės prielaidos'!H29+S195+G195</f>
        <v>#VALUE!</v>
      </c>
      <c r="U195" s="62" t="e">
        <f t="shared" si="70"/>
        <v>#VALUE!</v>
      </c>
      <c r="V195" s="72" t="e">
        <f t="shared" si="71"/>
        <v>#VALUE!</v>
      </c>
      <c r="W195" s="72" t="e">
        <f t="shared" si="72"/>
        <v>#VALUE!</v>
      </c>
      <c r="X195" s="57" t="e">
        <f t="shared" si="73"/>
        <v>#VALUE!</v>
      </c>
      <c r="Y195" s="57" t="e">
        <f t="shared" si="74"/>
        <v>#VALUE!</v>
      </c>
      <c r="Z195" s="57"/>
      <c r="AA195" s="57"/>
      <c r="AB195" s="57"/>
      <c r="AC195" s="57"/>
      <c r="AD195" s="57"/>
      <c r="AE195" s="57"/>
      <c r="AF195" s="57"/>
      <c r="AG195" s="57"/>
      <c r="AH195" s="57"/>
      <c r="AI195" s="57"/>
      <c r="AJ195" s="57"/>
      <c r="AK195" s="57"/>
      <c r="AL195" s="57"/>
      <c r="AM195" s="57"/>
      <c r="AN195" s="57"/>
      <c r="AO195" s="57"/>
      <c r="AP195" s="57"/>
      <c r="AQ195" s="57"/>
      <c r="AR195" s="57"/>
      <c r="AS195" s="57"/>
    </row>
    <row r="196" spans="1:45">
      <c r="A196" s="57">
        <v>16</v>
      </c>
      <c r="B196" s="57">
        <v>2032</v>
      </c>
      <c r="C196" s="62">
        <f>SUM('4. Metinis CAPEX'!L$9:L$24)</f>
        <v>0</v>
      </c>
      <c r="D196" s="62" cm="1">
        <f t="array" ref="D196">SUMPRODUCT('4. Metinis CAPEX'!L$9:L$24,IFERROR('2. Investicijos'!$N$5:$N$20/'2. Investicijos'!$H$5:$H$20,0))</f>
        <v>0</v>
      </c>
      <c r="E196" s="62" cm="1">
        <f t="array" ref="E196">SUMPRODUCT('4. Metinis CAPEX'!L$9:L$24,IFERROR(('2. Investicijos'!$I$5:$I$20+'2. Investicijos'!$J$5:$J$20+'2. Investicijos'!$K$5:$K$20+'2. Investicijos'!$L$5:$L$20)/'2. Investicijos'!$H$5:$H$20,0))</f>
        <v>0</v>
      </c>
      <c r="F196" s="62" cm="1">
        <f t="array" ref="F196">SUM('2. Investicijos'!$H$5:$H$20*'7. Pasirinktinis scenarijus'!$C$6)</f>
        <v>0</v>
      </c>
      <c r="G196" s="62" cm="1">
        <f t="array" ref="G196">IF(AND(2032&gt;=2026,2032&lt;2026+'7. Pasirinktinis scenarijus'!$C$5),SUM('2. Investicijos'!$H$5:$H$20*'7. Pasirinktinis scenarijus'!$C$6)/'7. Pasirinktinis scenarijus'!$C$5,0)</f>
        <v>0</v>
      </c>
      <c r="H196" s="62">
        <f t="shared" si="68"/>
        <v>0</v>
      </c>
      <c r="I196" s="62">
        <f>SUM(L$5:L$20)</f>
        <v>0</v>
      </c>
      <c r="J196" s="62" t="e" cm="1">
        <f t="array" ref="J196">K196+L196+MAX(0,-R195)*IFERROR(SUMPRODUCT(IF('2. Investicijos'!$N$5:$N$20&gt;('2. Investicijos'!$H$5:$H$20*'7. Pasirinktinis scenarijus'!$C$6),'2. Investicijos'!$N$5:$N$20-('2. Investicijos'!$H$5:$H$20*'7. Pasirinktinis scenarijus'!$C$6),0),'2. Investicijos'!$O$5:$O$20/100)/SUM(IF('2. Investicijos'!$N$5:$N$20&gt;('2. Investicijos'!$H$5:$H$20*'7. Pasirinktinis scenarijus'!$C$6),'2. Investicijos'!$N$5:$N$20-('2. Investicijos'!$H$5:$H$20*'7. Pasirinktinis scenarijus'!$C$6),0)),0)</f>
        <v>#VALUE!</v>
      </c>
      <c r="K196" s="62">
        <f>SUM(AF$5:AF$20)</f>
        <v>0</v>
      </c>
      <c r="L196" s="62">
        <f>SUM(V$5:V$20)</f>
        <v>0</v>
      </c>
      <c r="M196" s="62">
        <f>SUM(AP$5:AP$20)</f>
        <v>0</v>
      </c>
      <c r="N196" s="62">
        <f>'3. Finansinės prielaidos'!I30+M196</f>
        <v>0</v>
      </c>
      <c r="O196" s="62">
        <f>'3. Finansinės prielaidos'!I31</f>
        <v>0</v>
      </c>
      <c r="P196" s="62">
        <f>'3. Finansinės prielaidos'!I32</f>
        <v>0</v>
      </c>
      <c r="Q196" s="62" t="e">
        <f t="shared" si="69"/>
        <v>#VALUE!</v>
      </c>
      <c r="R196" s="62" t="e">
        <f>R195+('3. Finansinės prielaidos'!I31-'3. Finansinės prielaidos'!H31)+Q196</f>
        <v>#VALUE!</v>
      </c>
      <c r="S196" s="62" t="e" cm="1">
        <f t="array" ref="S196">SUMPRODUCT(--(2032&gt;'2. Investicijos'!$F$5:$F$20),--(2032&lt;='2. Investicijos'!$F$5:$F$20+'2. Investicijos'!$G$5:$G$20),IFERROR(('2. Investicijos'!$M$5:$M$20+IF('2. Investicijos'!$N$5:$N$20&gt;('2. Investicijos'!$H$5:$H$20*'7. Pasirinktinis scenarijus'!$C$6),'2. Investicijos'!$N$5:$N$20-('2. Investicijos'!$H$5:$H$20*'7. Pasirinktinis scenarijus'!$C$6),0)+('2. Investicijos'!$H$5:$H$20*'7. Pasirinktinis scenarijus'!$C$6))/'2. Investicijos'!$G$5:$G$20,0))+SUMPRODUCT(--(2032&gt;'2. Investicijos'!$F$5:$F$20),--(2032&lt;='2. Investicijos'!$F$5:$F$20+'2. Investicijos'!$G$5:$G$20),IFERROR(('2. Investicijos'!$M$5:$M$20+IF('2. Investicijos'!$N$5:$N$20&gt;('2. Investicijos'!$H$5:$H$20*'7. Pasirinktinis scenarijus'!$C$6),'2. Investicijos'!$N$5:$N$20-('2. Investicijos'!$H$5:$H$20*'7. Pasirinktinis scenarijus'!$C$6),0))*(1-((2032-'2. Investicijos'!$F$5:$F$20)-1)/'2. Investicijos'!$G$5:$G$20),0)*'5. 0% scenarijus'!$C$5)</f>
        <v>#VALUE!</v>
      </c>
      <c r="T196" s="62" t="e">
        <f>'3. Finansinės prielaidos'!I29+S196+G196</f>
        <v>#VALUE!</v>
      </c>
      <c r="U196" s="62" t="e">
        <f t="shared" si="70"/>
        <v>#VALUE!</v>
      </c>
      <c r="V196" s="72" t="e">
        <f t="shared" si="71"/>
        <v>#VALUE!</v>
      </c>
      <c r="W196" s="72" t="e">
        <f t="shared" si="72"/>
        <v>#VALUE!</v>
      </c>
      <c r="X196" s="57" t="e">
        <f t="shared" si="73"/>
        <v>#VALUE!</v>
      </c>
      <c r="Y196" s="57" t="e">
        <f t="shared" si="74"/>
        <v>#VALUE!</v>
      </c>
      <c r="Z196" s="57"/>
      <c r="AA196" s="57"/>
      <c r="AB196" s="57"/>
      <c r="AC196" s="57"/>
      <c r="AD196" s="57"/>
      <c r="AE196" s="57"/>
      <c r="AF196" s="57"/>
      <c r="AG196" s="57"/>
      <c r="AH196" s="57"/>
      <c r="AI196" s="57"/>
      <c r="AJ196" s="57"/>
      <c r="AK196" s="57"/>
      <c r="AL196" s="57"/>
      <c r="AM196" s="57"/>
      <c r="AN196" s="57"/>
      <c r="AO196" s="57"/>
      <c r="AP196" s="57"/>
      <c r="AQ196" s="57"/>
      <c r="AR196" s="57"/>
      <c r="AS196" s="57"/>
    </row>
    <row r="197" spans="1:45">
      <c r="A197" s="57">
        <v>16</v>
      </c>
      <c r="B197" s="57">
        <v>2033</v>
      </c>
      <c r="C197" s="62">
        <f>SUM('4. Metinis CAPEX'!M$9:M$24)</f>
        <v>0</v>
      </c>
      <c r="D197" s="62" cm="1">
        <f t="array" ref="D197">SUMPRODUCT('4. Metinis CAPEX'!M$9:M$24,IFERROR('2. Investicijos'!$N$5:$N$20/'2. Investicijos'!$H$5:$H$20,0))</f>
        <v>0</v>
      </c>
      <c r="E197" s="62" cm="1">
        <f t="array" ref="E197">SUMPRODUCT('4. Metinis CAPEX'!M$9:M$24,IFERROR(('2. Investicijos'!$I$5:$I$20+'2. Investicijos'!$J$5:$J$20+'2. Investicijos'!$K$5:$K$20+'2. Investicijos'!$L$5:$L$20)/'2. Investicijos'!$H$5:$H$20,0))</f>
        <v>0</v>
      </c>
      <c r="F197" s="62" cm="1">
        <f t="array" ref="F197">SUM('2. Investicijos'!$H$5:$H$20*'7. Pasirinktinis scenarijus'!$C$6)</f>
        <v>0</v>
      </c>
      <c r="G197" s="62" cm="1">
        <f t="array" ref="G197">IF(AND(2033&gt;=2026,2033&lt;2026+'7. Pasirinktinis scenarijus'!$C$5),SUM('2. Investicijos'!$H$5:$H$20*'7. Pasirinktinis scenarijus'!$C$6)/'7. Pasirinktinis scenarijus'!$C$5,0)</f>
        <v>0</v>
      </c>
      <c r="H197" s="62">
        <f t="shared" si="68"/>
        <v>0</v>
      </c>
      <c r="I197" s="62">
        <f>SUM(M$5:M$20)</f>
        <v>0</v>
      </c>
      <c r="J197" s="62" t="e" cm="1">
        <f t="array" ref="J197">K197+L197+MAX(0,-R196)*IFERROR(SUMPRODUCT(IF('2. Investicijos'!$N$5:$N$20&gt;('2. Investicijos'!$H$5:$H$20*'7. Pasirinktinis scenarijus'!$C$6),'2. Investicijos'!$N$5:$N$20-('2. Investicijos'!$H$5:$H$20*'7. Pasirinktinis scenarijus'!$C$6),0),'2. Investicijos'!$O$5:$O$20/100)/SUM(IF('2. Investicijos'!$N$5:$N$20&gt;('2. Investicijos'!$H$5:$H$20*'7. Pasirinktinis scenarijus'!$C$6),'2. Investicijos'!$N$5:$N$20-('2. Investicijos'!$H$5:$H$20*'7. Pasirinktinis scenarijus'!$C$6),0)),0)</f>
        <v>#VALUE!</v>
      </c>
      <c r="K197" s="62">
        <f>SUM(AG$5:AG$20)</f>
        <v>0</v>
      </c>
      <c r="L197" s="62">
        <f>SUM(W$5:W$20)</f>
        <v>0</v>
      </c>
      <c r="M197" s="62">
        <f>SUM(AQ$5:AQ$20)</f>
        <v>0</v>
      </c>
      <c r="N197" s="62">
        <f>'3. Finansinės prielaidos'!J30+M197</f>
        <v>0</v>
      </c>
      <c r="O197" s="62">
        <f>'3. Finansinės prielaidos'!J31</f>
        <v>0</v>
      </c>
      <c r="P197" s="62">
        <f>'3. Finansinės prielaidos'!J32</f>
        <v>0</v>
      </c>
      <c r="Q197" s="62" t="e">
        <f t="shared" si="69"/>
        <v>#VALUE!</v>
      </c>
      <c r="R197" s="62" t="e">
        <f>R196+('3. Finansinės prielaidos'!J31-'3. Finansinės prielaidos'!I31)+Q197</f>
        <v>#VALUE!</v>
      </c>
      <c r="S197" s="62" t="e" cm="1">
        <f t="array" ref="S197">SUMPRODUCT(--(2033&gt;'2. Investicijos'!$F$5:$F$20),--(2033&lt;='2. Investicijos'!$F$5:$F$20+'2. Investicijos'!$G$5:$G$20),IFERROR(('2. Investicijos'!$M$5:$M$20+IF('2. Investicijos'!$N$5:$N$20&gt;('2. Investicijos'!$H$5:$H$20*'7. Pasirinktinis scenarijus'!$C$6),'2. Investicijos'!$N$5:$N$20-('2. Investicijos'!$H$5:$H$20*'7. Pasirinktinis scenarijus'!$C$6),0)+('2. Investicijos'!$H$5:$H$20*'7. Pasirinktinis scenarijus'!$C$6))/'2. Investicijos'!$G$5:$G$20,0))+SUMPRODUCT(--(2033&gt;'2. Investicijos'!$F$5:$F$20),--(2033&lt;='2. Investicijos'!$F$5:$F$20+'2. Investicijos'!$G$5:$G$20),IFERROR(('2. Investicijos'!$M$5:$M$20+IF('2. Investicijos'!$N$5:$N$20&gt;('2. Investicijos'!$H$5:$H$20*'7. Pasirinktinis scenarijus'!$C$6),'2. Investicijos'!$N$5:$N$20-('2. Investicijos'!$H$5:$H$20*'7. Pasirinktinis scenarijus'!$C$6),0))*(1-((2033-'2. Investicijos'!$F$5:$F$20)-1)/'2. Investicijos'!$G$5:$G$20),0)*'5. 0% scenarijus'!$C$5)</f>
        <v>#VALUE!</v>
      </c>
      <c r="T197" s="62" t="e">
        <f>'3. Finansinės prielaidos'!J29+S197+G197</f>
        <v>#VALUE!</v>
      </c>
      <c r="U197" s="62" t="e">
        <f t="shared" si="70"/>
        <v>#VALUE!</v>
      </c>
      <c r="V197" s="72" t="e">
        <f t="shared" si="71"/>
        <v>#VALUE!</v>
      </c>
      <c r="W197" s="72" t="e">
        <f t="shared" si="72"/>
        <v>#VALUE!</v>
      </c>
      <c r="X197" s="57" t="e">
        <f t="shared" si="73"/>
        <v>#VALUE!</v>
      </c>
      <c r="Y197" s="57" t="e">
        <f t="shared" si="74"/>
        <v>#VALUE!</v>
      </c>
      <c r="Z197" s="57"/>
      <c r="AA197" s="57"/>
      <c r="AB197" s="57"/>
      <c r="AC197" s="57"/>
      <c r="AD197" s="57"/>
      <c r="AE197" s="57"/>
      <c r="AF197" s="57"/>
      <c r="AG197" s="57"/>
      <c r="AH197" s="57"/>
      <c r="AI197" s="57"/>
      <c r="AJ197" s="57"/>
      <c r="AK197" s="57"/>
      <c r="AL197" s="57"/>
      <c r="AM197" s="57"/>
      <c r="AN197" s="57"/>
      <c r="AO197" s="57"/>
      <c r="AP197" s="57"/>
      <c r="AQ197" s="57"/>
      <c r="AR197" s="57"/>
      <c r="AS197" s="57"/>
    </row>
    <row r="198" spans="1:45">
      <c r="A198" s="57">
        <v>16</v>
      </c>
      <c r="B198" s="57">
        <v>2034</v>
      </c>
      <c r="C198" s="62">
        <f>SUM('4. Metinis CAPEX'!N$9:N$24)</f>
        <v>0</v>
      </c>
      <c r="D198" s="62" cm="1">
        <f t="array" ref="D198">SUMPRODUCT('4. Metinis CAPEX'!N$9:N$24,IFERROR('2. Investicijos'!$N$5:$N$20/'2. Investicijos'!$H$5:$H$20,0))</f>
        <v>0</v>
      </c>
      <c r="E198" s="62" cm="1">
        <f t="array" ref="E198">SUMPRODUCT('4. Metinis CAPEX'!N$9:N$24,IFERROR(('2. Investicijos'!$I$5:$I$20+'2. Investicijos'!$J$5:$J$20+'2. Investicijos'!$K$5:$K$20+'2. Investicijos'!$L$5:$L$20)/'2. Investicijos'!$H$5:$H$20,0))</f>
        <v>0</v>
      </c>
      <c r="F198" s="62" cm="1">
        <f t="array" ref="F198">SUM('2. Investicijos'!$H$5:$H$20*'7. Pasirinktinis scenarijus'!$C$6)</f>
        <v>0</v>
      </c>
      <c r="G198" s="62" cm="1">
        <f t="array" ref="G198">IF(AND(2034&gt;=2026,2034&lt;2026+'7. Pasirinktinis scenarijus'!$C$5),SUM('2. Investicijos'!$H$5:$H$20*'7. Pasirinktinis scenarijus'!$C$6)/'7. Pasirinktinis scenarijus'!$C$5,0)</f>
        <v>0</v>
      </c>
      <c r="H198" s="62">
        <f t="shared" si="68"/>
        <v>0</v>
      </c>
      <c r="I198" s="62">
        <f>SUM(N$5:N$20)</f>
        <v>0</v>
      </c>
      <c r="J198" s="62" t="e" cm="1">
        <f t="array" ref="J198">K198+L198+MAX(0,-R197)*IFERROR(SUMPRODUCT(IF('2. Investicijos'!$N$5:$N$20&gt;('2. Investicijos'!$H$5:$H$20*'7. Pasirinktinis scenarijus'!$C$6),'2. Investicijos'!$N$5:$N$20-('2. Investicijos'!$H$5:$H$20*'7. Pasirinktinis scenarijus'!$C$6),0),'2. Investicijos'!$O$5:$O$20/100)/SUM(IF('2. Investicijos'!$N$5:$N$20&gt;('2. Investicijos'!$H$5:$H$20*'7. Pasirinktinis scenarijus'!$C$6),'2. Investicijos'!$N$5:$N$20-('2. Investicijos'!$H$5:$H$20*'7. Pasirinktinis scenarijus'!$C$6),0)),0)</f>
        <v>#VALUE!</v>
      </c>
      <c r="K198" s="62">
        <f>SUM(AH$5:AH$20)</f>
        <v>0</v>
      </c>
      <c r="L198" s="62">
        <f>SUM(X$5:X$20)</f>
        <v>0</v>
      </c>
      <c r="M198" s="62">
        <f>SUM(AR$5:AR$20)</f>
        <v>0</v>
      </c>
      <c r="N198" s="62">
        <f>'3. Finansinės prielaidos'!K30+M198</f>
        <v>0</v>
      </c>
      <c r="O198" s="62">
        <f>'3. Finansinės prielaidos'!K31</f>
        <v>0</v>
      </c>
      <c r="P198" s="62">
        <f>'3. Finansinės prielaidos'!K32</f>
        <v>0</v>
      </c>
      <c r="Q198" s="62" t="e">
        <f t="shared" si="69"/>
        <v>#VALUE!</v>
      </c>
      <c r="R198" s="62" t="e">
        <f>R197+('3. Finansinės prielaidos'!K31-'3. Finansinės prielaidos'!J31)+Q198</f>
        <v>#VALUE!</v>
      </c>
      <c r="S198" s="62" t="e" cm="1">
        <f t="array" ref="S198">SUMPRODUCT(--(2034&gt;'2. Investicijos'!$F$5:$F$20),--(2034&lt;='2. Investicijos'!$F$5:$F$20+'2. Investicijos'!$G$5:$G$20),IFERROR(('2. Investicijos'!$M$5:$M$20+IF('2. Investicijos'!$N$5:$N$20&gt;('2. Investicijos'!$H$5:$H$20*'7. Pasirinktinis scenarijus'!$C$6),'2. Investicijos'!$N$5:$N$20-('2. Investicijos'!$H$5:$H$20*'7. Pasirinktinis scenarijus'!$C$6),0)+('2. Investicijos'!$H$5:$H$20*'7. Pasirinktinis scenarijus'!$C$6))/'2. Investicijos'!$G$5:$G$20,0))+SUMPRODUCT(--(2034&gt;'2. Investicijos'!$F$5:$F$20),--(2034&lt;='2. Investicijos'!$F$5:$F$20+'2. Investicijos'!$G$5:$G$20),IFERROR(('2. Investicijos'!$M$5:$M$20+IF('2. Investicijos'!$N$5:$N$20&gt;('2. Investicijos'!$H$5:$H$20*'7. Pasirinktinis scenarijus'!$C$6),'2. Investicijos'!$N$5:$N$20-('2. Investicijos'!$H$5:$H$20*'7. Pasirinktinis scenarijus'!$C$6),0))*(1-((2034-'2. Investicijos'!$F$5:$F$20)-1)/'2. Investicijos'!$G$5:$G$20),0)*'5. 0% scenarijus'!$C$5)</f>
        <v>#VALUE!</v>
      </c>
      <c r="T198" s="62" t="e">
        <f>'3. Finansinės prielaidos'!K29+S198+G198</f>
        <v>#VALUE!</v>
      </c>
      <c r="U198" s="62" t="e">
        <f t="shared" si="70"/>
        <v>#VALUE!</v>
      </c>
      <c r="V198" s="72" t="e">
        <f t="shared" si="71"/>
        <v>#VALUE!</v>
      </c>
      <c r="W198" s="72" t="e">
        <f t="shared" si="72"/>
        <v>#VALUE!</v>
      </c>
      <c r="X198" s="57" t="e">
        <f t="shared" si="73"/>
        <v>#VALUE!</v>
      </c>
      <c r="Y198" s="57" t="e">
        <f t="shared" si="74"/>
        <v>#VALUE!</v>
      </c>
      <c r="Z198" s="57"/>
      <c r="AA198" s="57"/>
      <c r="AB198" s="57"/>
      <c r="AC198" s="57"/>
      <c r="AD198" s="57"/>
      <c r="AE198" s="57"/>
      <c r="AF198" s="57"/>
      <c r="AG198" s="57"/>
      <c r="AH198" s="57"/>
      <c r="AI198" s="57"/>
      <c r="AJ198" s="57"/>
      <c r="AK198" s="57"/>
      <c r="AL198" s="57"/>
      <c r="AM198" s="57"/>
      <c r="AN198" s="57"/>
      <c r="AO198" s="57"/>
      <c r="AP198" s="57"/>
      <c r="AQ198" s="57"/>
      <c r="AR198" s="57"/>
      <c r="AS198" s="57"/>
    </row>
    <row r="199" spans="1:45">
      <c r="A199" s="57">
        <v>16</v>
      </c>
      <c r="B199" s="57">
        <v>2035</v>
      </c>
      <c r="C199" s="62">
        <f>SUM('4. Metinis CAPEX'!O$9:O$24)</f>
        <v>0</v>
      </c>
      <c r="D199" s="62" cm="1">
        <f t="array" ref="D199">SUMPRODUCT('4. Metinis CAPEX'!O$9:O$24,IFERROR('2. Investicijos'!$N$5:$N$20/'2. Investicijos'!$H$5:$H$20,0))</f>
        <v>0</v>
      </c>
      <c r="E199" s="62" cm="1">
        <f t="array" ref="E199">SUMPRODUCT('4. Metinis CAPEX'!O$9:O$24,IFERROR(('2. Investicijos'!$I$5:$I$20+'2. Investicijos'!$J$5:$J$20+'2. Investicijos'!$K$5:$K$20+'2. Investicijos'!$L$5:$L$20)/'2. Investicijos'!$H$5:$H$20,0))</f>
        <v>0</v>
      </c>
      <c r="F199" s="62" cm="1">
        <f t="array" ref="F199">SUM('2. Investicijos'!$H$5:$H$20*'7. Pasirinktinis scenarijus'!$C$6)</f>
        <v>0</v>
      </c>
      <c r="G199" s="62" cm="1">
        <f t="array" ref="G199">IF(AND(2035&gt;=2026,2035&lt;2026+'7. Pasirinktinis scenarijus'!$C$5),SUM('2. Investicijos'!$H$5:$H$20*'7. Pasirinktinis scenarijus'!$C$6)/'7. Pasirinktinis scenarijus'!$C$5,0)</f>
        <v>0</v>
      </c>
      <c r="H199" s="62">
        <f t="shared" si="68"/>
        <v>0</v>
      </c>
      <c r="I199" s="62">
        <f>SUM(O$5:O$20)</f>
        <v>0</v>
      </c>
      <c r="J199" s="62" t="e" cm="1">
        <f t="array" ref="J199">K199+L199+MAX(0,-R198)*IFERROR(SUMPRODUCT(IF('2. Investicijos'!$N$5:$N$20&gt;('2. Investicijos'!$H$5:$H$20*'7. Pasirinktinis scenarijus'!$C$6),'2. Investicijos'!$N$5:$N$20-('2. Investicijos'!$H$5:$H$20*'7. Pasirinktinis scenarijus'!$C$6),0),'2. Investicijos'!$O$5:$O$20/100)/SUM(IF('2. Investicijos'!$N$5:$N$20&gt;('2. Investicijos'!$H$5:$H$20*'7. Pasirinktinis scenarijus'!$C$6),'2. Investicijos'!$N$5:$N$20-('2. Investicijos'!$H$5:$H$20*'7. Pasirinktinis scenarijus'!$C$6),0)),0)</f>
        <v>#VALUE!</v>
      </c>
      <c r="K199" s="62">
        <f>SUM(AI$5:AI$20)</f>
        <v>0</v>
      </c>
      <c r="L199" s="62">
        <f>SUM(Y$5:Y$20)</f>
        <v>0</v>
      </c>
      <c r="M199" s="62">
        <f>SUM(AS$5:AS$20)</f>
        <v>0</v>
      </c>
      <c r="N199" s="62">
        <f>'3. Finansinės prielaidos'!L30+M199</f>
        <v>0</v>
      </c>
      <c r="O199" s="62">
        <f>'3. Finansinės prielaidos'!L31</f>
        <v>0</v>
      </c>
      <c r="P199" s="62">
        <f>'3. Finansinės prielaidos'!L32</f>
        <v>0</v>
      </c>
      <c r="Q199" s="62" t="e">
        <f t="shared" si="69"/>
        <v>#VALUE!</v>
      </c>
      <c r="R199" s="62" t="e">
        <f>R198+('3. Finansinės prielaidos'!L31-'3. Finansinės prielaidos'!K31)+Q199</f>
        <v>#VALUE!</v>
      </c>
      <c r="S199" s="62" t="e" cm="1">
        <f t="array" ref="S199">SUMPRODUCT(--(2035&gt;'2. Investicijos'!$F$5:$F$20),--(2035&lt;='2. Investicijos'!$F$5:$F$20+'2. Investicijos'!$G$5:$G$20),IFERROR(('2. Investicijos'!$M$5:$M$20+IF('2. Investicijos'!$N$5:$N$20&gt;('2. Investicijos'!$H$5:$H$20*'7. Pasirinktinis scenarijus'!$C$6),'2. Investicijos'!$N$5:$N$20-('2. Investicijos'!$H$5:$H$20*'7. Pasirinktinis scenarijus'!$C$6),0)+('2. Investicijos'!$H$5:$H$20*'7. Pasirinktinis scenarijus'!$C$6))/'2. Investicijos'!$G$5:$G$20,0))+SUMPRODUCT(--(2035&gt;'2. Investicijos'!$F$5:$F$20),--(2035&lt;='2. Investicijos'!$F$5:$F$20+'2. Investicijos'!$G$5:$G$20),IFERROR(('2. Investicijos'!$M$5:$M$20+IF('2. Investicijos'!$N$5:$N$20&gt;('2. Investicijos'!$H$5:$H$20*'7. Pasirinktinis scenarijus'!$C$6),'2. Investicijos'!$N$5:$N$20-('2. Investicijos'!$H$5:$H$20*'7. Pasirinktinis scenarijus'!$C$6),0))*(1-((2035-'2. Investicijos'!$F$5:$F$20)-1)/'2. Investicijos'!$G$5:$G$20),0)*'5. 0% scenarijus'!$C$5)</f>
        <v>#VALUE!</v>
      </c>
      <c r="T199" s="62" t="e">
        <f>'3. Finansinės prielaidos'!L29+S199+G199</f>
        <v>#VALUE!</v>
      </c>
      <c r="U199" s="62" t="e">
        <f t="shared" si="70"/>
        <v>#VALUE!</v>
      </c>
      <c r="V199" s="72" t="e">
        <f t="shared" si="71"/>
        <v>#VALUE!</v>
      </c>
      <c r="W199" s="72" t="e">
        <f t="shared" si="72"/>
        <v>#VALUE!</v>
      </c>
      <c r="X199" s="57" t="e">
        <f t="shared" si="73"/>
        <v>#VALUE!</v>
      </c>
      <c r="Y199" s="57" t="e">
        <f t="shared" si="74"/>
        <v>#VALUE!</v>
      </c>
      <c r="Z199" s="57"/>
      <c r="AA199" s="57"/>
      <c r="AB199" s="57"/>
      <c r="AC199" s="57"/>
      <c r="AD199" s="57"/>
      <c r="AE199" s="57"/>
      <c r="AF199" s="57"/>
      <c r="AG199" s="57"/>
      <c r="AH199" s="57"/>
      <c r="AI199" s="57"/>
      <c r="AJ199" s="57"/>
      <c r="AK199" s="57"/>
      <c r="AL199" s="57"/>
      <c r="AM199" s="57"/>
      <c r="AN199" s="57"/>
      <c r="AO199" s="57"/>
      <c r="AP199" s="57"/>
      <c r="AQ199" s="57"/>
      <c r="AR199" s="57"/>
      <c r="AS199" s="57"/>
    </row>
    <row r="200" spans="1:45">
      <c r="A200" s="57">
        <v>17</v>
      </c>
      <c r="B200" s="57">
        <v>2026</v>
      </c>
      <c r="C200" s="62">
        <f>SUM('4. Metinis CAPEX'!F$9:F$25)</f>
        <v>0</v>
      </c>
      <c r="D200" s="62" cm="1">
        <f t="array" ref="D200">SUMPRODUCT('4. Metinis CAPEX'!F$9:F$25,IFERROR('2. Investicijos'!$N$5:$N$21/'2. Investicijos'!$H$5:$H$21,0))</f>
        <v>0</v>
      </c>
      <c r="E200" s="62" cm="1">
        <f t="array" ref="E200">SUMPRODUCT('4. Metinis CAPEX'!F$9:F$25,IFERROR(('2. Investicijos'!$I$5:$I$21+'2. Investicijos'!$J$5:$J$21+'2. Investicijos'!$K$5:$K$21+'2. Investicijos'!$L$5:$L$21)/'2. Investicijos'!$H$5:$H$21,0))</f>
        <v>0</v>
      </c>
      <c r="F200" s="62" cm="1">
        <f t="array" ref="F200">SUM('2. Investicijos'!$H$5:$H$21*'7. Pasirinktinis scenarijus'!$C$6)</f>
        <v>0</v>
      </c>
      <c r="G200" s="62" cm="1">
        <f t="array" ref="G200">IF(AND(2026&gt;=2026,2026&lt;2026+'7. Pasirinktinis scenarijus'!$C$5),SUM('2. Investicijos'!$H$5:$H$21*'7. Pasirinktinis scenarijus'!$C$6)/'7. Pasirinktinis scenarijus'!$C$5,0)</f>
        <v>0</v>
      </c>
      <c r="H200" s="62">
        <f t="shared" ref="H200:H231" si="75">D200-I200</f>
        <v>0</v>
      </c>
      <c r="I200" s="62">
        <f>SUM(F$5:F$21)</f>
        <v>0</v>
      </c>
      <c r="J200" s="62">
        <f>0</f>
        <v>0</v>
      </c>
      <c r="K200" s="62">
        <f>SUM(Z$5:Z$21)</f>
        <v>0</v>
      </c>
      <c r="L200" s="62">
        <f>SUM(P$5:P$21)</f>
        <v>0</v>
      </c>
      <c r="M200" s="62">
        <f>SUM(AJ$5:AJ$21)</f>
        <v>0</v>
      </c>
      <c r="N200" s="62">
        <f>'3. Finansinės prielaidos'!C30+M200</f>
        <v>0</v>
      </c>
      <c r="O200" s="62">
        <f>'3. Finansinės prielaidos'!C31</f>
        <v>0</v>
      </c>
      <c r="P200" s="62">
        <f>'3. Finansinės prielaidos'!C32</f>
        <v>0</v>
      </c>
      <c r="Q200" s="62" t="e">
        <f t="shared" ref="Q200:Q231" si="76">S200+G200+I200+E200-C200-J200</f>
        <v>#VALUE!</v>
      </c>
      <c r="R200" s="62" t="e">
        <f>O200+Q200</f>
        <v>#VALUE!</v>
      </c>
      <c r="S200" s="62" t="e" cm="1">
        <f t="array" ref="S200">SUMPRODUCT(--(2026&gt;'2. Investicijos'!$F$5:$F$21),--(2026&lt;='2. Investicijos'!$F$5:$F$21+'2. Investicijos'!$G$5:$G$21),IFERROR(('2. Investicijos'!$M$5:$M$21+IF('2. Investicijos'!$N$5:$N$21&gt;('2. Investicijos'!$H$5:$H$21*'7. Pasirinktinis scenarijus'!$C$6),'2. Investicijos'!$N$5:$N$21-('2. Investicijos'!$H$5:$H$21*'7. Pasirinktinis scenarijus'!$C$6),0)+('2. Investicijos'!$H$5:$H$21*'7. Pasirinktinis scenarijus'!$C$6))/'2. Investicijos'!$G$5:$G$21,0))+SUMPRODUCT(--(2026&gt;'2. Investicijos'!$F$5:$F$21),--(2026&lt;='2. Investicijos'!$F$5:$F$21+'2. Investicijos'!$G$5:$G$21),IFERROR(('2. Investicijos'!$M$5:$M$21+IF('2. Investicijos'!$N$5:$N$21&gt;('2. Investicijos'!$H$5:$H$21*'7. Pasirinktinis scenarijus'!$C$6),'2. Investicijos'!$N$5:$N$21-('2. Investicijos'!$H$5:$H$21*'7. Pasirinktinis scenarijus'!$C$6),0))*(1-((2026-'2. Investicijos'!$F$5:$F$21)-1)/'2. Investicijos'!$G$5:$G$21),0)*'5. 0% scenarijus'!$C$5)</f>
        <v>#VALUE!</v>
      </c>
      <c r="T200" s="62" t="e">
        <f>'3. Finansinės prielaidos'!C29+S200+G200</f>
        <v>#VALUE!</v>
      </c>
      <c r="U200" s="62" t="e">
        <f t="shared" ref="U200:U231" si="77">N200-R200</f>
        <v>#VALUE!</v>
      </c>
      <c r="V200" s="72" t="e">
        <f t="shared" ref="V200:V231" si="78">IF(OR(T200="",T200&lt;=0),"",U200/T200)</f>
        <v>#VALUE!</v>
      </c>
      <c r="W200" s="72" t="e">
        <f t="shared" ref="W200:W231" si="79">IF(T200&lt;=0,"",IF(P200+J200=0,999999,T200/(P200+J200)))</f>
        <v>#VALUE!</v>
      </c>
      <c r="X200" s="57" t="e">
        <f t="shared" ref="X200:X231" si="80">IF(OR(V200="",W200=""),"",IF(AND(V200&lt;=5.5,W200&gt;=1.2),"ATITINKA","NEATITINKA"))</f>
        <v>#VALUE!</v>
      </c>
      <c r="Y200" s="57" t="e">
        <f t="shared" ref="Y200:Y231" si="81">IF(X200&lt;&gt;"NEATITINKA","",IF(T200&lt;=0,"EBITDA ≤ 0",IF(AND(V200&gt;5.5,W200&lt;1.2),"Abu",IF(V200&gt;5.5,"Net Debt / EBITDA","DSCR"))))</f>
        <v>#VALUE!</v>
      </c>
      <c r="Z200" s="57"/>
      <c r="AA200" s="57"/>
      <c r="AB200" s="57"/>
      <c r="AC200" s="57"/>
      <c r="AD200" s="57"/>
      <c r="AE200" s="57"/>
      <c r="AF200" s="57"/>
      <c r="AG200" s="57"/>
      <c r="AH200" s="57"/>
      <c r="AI200" s="57"/>
      <c r="AJ200" s="57"/>
      <c r="AK200" s="57"/>
      <c r="AL200" s="57"/>
      <c r="AM200" s="57"/>
      <c r="AN200" s="57"/>
      <c r="AO200" s="57"/>
      <c r="AP200" s="57"/>
      <c r="AQ200" s="57"/>
      <c r="AR200" s="57"/>
      <c r="AS200" s="57"/>
    </row>
    <row r="201" spans="1:45">
      <c r="A201" s="57">
        <v>17</v>
      </c>
      <c r="B201" s="57">
        <v>2027</v>
      </c>
      <c r="C201" s="62">
        <f>SUM('4. Metinis CAPEX'!G$9:G$25)</f>
        <v>0</v>
      </c>
      <c r="D201" s="62" cm="1">
        <f t="array" ref="D201">SUMPRODUCT('4. Metinis CAPEX'!G$9:G$25,IFERROR('2. Investicijos'!$N$5:$N$21/'2. Investicijos'!$H$5:$H$21,0))</f>
        <v>0</v>
      </c>
      <c r="E201" s="62" cm="1">
        <f t="array" ref="E201">SUMPRODUCT('4. Metinis CAPEX'!G$9:G$25,IFERROR(('2. Investicijos'!$I$5:$I$21+'2. Investicijos'!$J$5:$J$21+'2. Investicijos'!$K$5:$K$21+'2. Investicijos'!$L$5:$L$21)/'2. Investicijos'!$H$5:$H$21,0))</f>
        <v>0</v>
      </c>
      <c r="F201" s="62" cm="1">
        <f t="array" ref="F201">SUM('2. Investicijos'!$H$5:$H$21*'7. Pasirinktinis scenarijus'!$C$6)</f>
        <v>0</v>
      </c>
      <c r="G201" s="62" cm="1">
        <f t="array" ref="G201">IF(AND(2027&gt;=2026,2027&lt;2026+'7. Pasirinktinis scenarijus'!$C$5),SUM('2. Investicijos'!$H$5:$H$21*'7. Pasirinktinis scenarijus'!$C$6)/'7. Pasirinktinis scenarijus'!$C$5,0)</f>
        <v>0</v>
      </c>
      <c r="H201" s="62">
        <f t="shared" si="75"/>
        <v>0</v>
      </c>
      <c r="I201" s="62">
        <f>SUM(G$5:G$21)</f>
        <v>0</v>
      </c>
      <c r="J201" s="62" t="e" cm="1">
        <f t="array" ref="J201">K201+L201+MAX(0,-R200)*IFERROR(SUMPRODUCT(IF('2. Investicijos'!$N$5:$N$21&gt;('2. Investicijos'!$H$5:$H$21*'7. Pasirinktinis scenarijus'!$C$6),'2. Investicijos'!$N$5:$N$21-('2. Investicijos'!$H$5:$H$21*'7. Pasirinktinis scenarijus'!$C$6),0),'2. Investicijos'!$O$5:$O$21/100)/SUM(IF('2. Investicijos'!$N$5:$N$21&gt;('2. Investicijos'!$H$5:$H$21*'7. Pasirinktinis scenarijus'!$C$6),'2. Investicijos'!$N$5:$N$21-('2. Investicijos'!$H$5:$H$21*'7. Pasirinktinis scenarijus'!$C$6),0)),0)</f>
        <v>#VALUE!</v>
      </c>
      <c r="K201" s="62">
        <f>SUM(AA$5:AA$21)</f>
        <v>0</v>
      </c>
      <c r="L201" s="62">
        <f>SUM(Q$5:Q$21)</f>
        <v>0</v>
      </c>
      <c r="M201" s="62">
        <f>SUM(AK$5:AK$21)</f>
        <v>0</v>
      </c>
      <c r="N201" s="62">
        <f>'3. Finansinės prielaidos'!D30+M201</f>
        <v>0</v>
      </c>
      <c r="O201" s="62">
        <f>'3. Finansinės prielaidos'!D31</f>
        <v>0</v>
      </c>
      <c r="P201" s="62">
        <f>'3. Finansinės prielaidos'!D32</f>
        <v>0</v>
      </c>
      <c r="Q201" s="62" t="e">
        <f t="shared" si="76"/>
        <v>#VALUE!</v>
      </c>
      <c r="R201" s="62" t="e">
        <f>R200+('3. Finansinės prielaidos'!D31-'3. Finansinės prielaidos'!C31)+Q201</f>
        <v>#VALUE!</v>
      </c>
      <c r="S201" s="62" t="e" cm="1">
        <f t="array" ref="S201">SUMPRODUCT(--(2027&gt;'2. Investicijos'!$F$5:$F$21),--(2027&lt;='2. Investicijos'!$F$5:$F$21+'2. Investicijos'!$G$5:$G$21),IFERROR(('2. Investicijos'!$M$5:$M$21+IF('2. Investicijos'!$N$5:$N$21&gt;('2. Investicijos'!$H$5:$H$21*'7. Pasirinktinis scenarijus'!$C$6),'2. Investicijos'!$N$5:$N$21-('2. Investicijos'!$H$5:$H$21*'7. Pasirinktinis scenarijus'!$C$6),0)+('2. Investicijos'!$H$5:$H$21*'7. Pasirinktinis scenarijus'!$C$6))/'2. Investicijos'!$G$5:$G$21,0))+SUMPRODUCT(--(2027&gt;'2. Investicijos'!$F$5:$F$21),--(2027&lt;='2. Investicijos'!$F$5:$F$21+'2. Investicijos'!$G$5:$G$21),IFERROR(('2. Investicijos'!$M$5:$M$21+IF('2. Investicijos'!$N$5:$N$21&gt;('2. Investicijos'!$H$5:$H$21*'7. Pasirinktinis scenarijus'!$C$6),'2. Investicijos'!$N$5:$N$21-('2. Investicijos'!$H$5:$H$21*'7. Pasirinktinis scenarijus'!$C$6),0))*(1-((2027-'2. Investicijos'!$F$5:$F$21)-1)/'2. Investicijos'!$G$5:$G$21),0)*'5. 0% scenarijus'!$C$5)</f>
        <v>#VALUE!</v>
      </c>
      <c r="T201" s="62" t="e">
        <f>'3. Finansinės prielaidos'!D29+S201+G201</f>
        <v>#VALUE!</v>
      </c>
      <c r="U201" s="62" t="e">
        <f t="shared" si="77"/>
        <v>#VALUE!</v>
      </c>
      <c r="V201" s="72" t="e">
        <f t="shared" si="78"/>
        <v>#VALUE!</v>
      </c>
      <c r="W201" s="72" t="e">
        <f t="shared" si="79"/>
        <v>#VALUE!</v>
      </c>
      <c r="X201" s="57" t="e">
        <f t="shared" si="80"/>
        <v>#VALUE!</v>
      </c>
      <c r="Y201" s="57" t="e">
        <f t="shared" si="81"/>
        <v>#VALUE!</v>
      </c>
      <c r="Z201" s="57"/>
      <c r="AA201" s="57"/>
      <c r="AB201" s="57"/>
      <c r="AC201" s="57"/>
      <c r="AD201" s="57"/>
      <c r="AE201" s="57"/>
      <c r="AF201" s="57"/>
      <c r="AG201" s="57"/>
      <c r="AH201" s="57"/>
      <c r="AI201" s="57"/>
      <c r="AJ201" s="57"/>
      <c r="AK201" s="57"/>
      <c r="AL201" s="57"/>
      <c r="AM201" s="57"/>
      <c r="AN201" s="57"/>
      <c r="AO201" s="57"/>
      <c r="AP201" s="57"/>
      <c r="AQ201" s="57"/>
      <c r="AR201" s="57"/>
      <c r="AS201" s="57"/>
    </row>
    <row r="202" spans="1:45">
      <c r="A202" s="57">
        <v>17</v>
      </c>
      <c r="B202" s="57">
        <v>2028</v>
      </c>
      <c r="C202" s="62">
        <f>SUM('4. Metinis CAPEX'!H$9:H$25)</f>
        <v>0</v>
      </c>
      <c r="D202" s="62" cm="1">
        <f t="array" ref="D202">SUMPRODUCT('4. Metinis CAPEX'!H$9:H$25,IFERROR('2. Investicijos'!$N$5:$N$21/'2. Investicijos'!$H$5:$H$21,0))</f>
        <v>0</v>
      </c>
      <c r="E202" s="62" cm="1">
        <f t="array" ref="E202">SUMPRODUCT('4. Metinis CAPEX'!H$9:H$25,IFERROR(('2. Investicijos'!$I$5:$I$21+'2. Investicijos'!$J$5:$J$21+'2. Investicijos'!$K$5:$K$21+'2. Investicijos'!$L$5:$L$21)/'2. Investicijos'!$H$5:$H$21,0))</f>
        <v>0</v>
      </c>
      <c r="F202" s="62" cm="1">
        <f t="array" ref="F202">SUM('2. Investicijos'!$H$5:$H$21*'7. Pasirinktinis scenarijus'!$C$6)</f>
        <v>0</v>
      </c>
      <c r="G202" s="62" cm="1">
        <f t="array" ref="G202">IF(AND(2028&gt;=2026,2028&lt;2026+'7. Pasirinktinis scenarijus'!$C$5),SUM('2. Investicijos'!$H$5:$H$21*'7. Pasirinktinis scenarijus'!$C$6)/'7. Pasirinktinis scenarijus'!$C$5,0)</f>
        <v>0</v>
      </c>
      <c r="H202" s="62">
        <f t="shared" si="75"/>
        <v>0</v>
      </c>
      <c r="I202" s="62">
        <f>SUM(H$5:H$21)</f>
        <v>0</v>
      </c>
      <c r="J202" s="62" t="e" cm="1">
        <f t="array" ref="J202">K202+L202+MAX(0,-R201)*IFERROR(SUMPRODUCT(IF('2. Investicijos'!$N$5:$N$21&gt;('2. Investicijos'!$H$5:$H$21*'7. Pasirinktinis scenarijus'!$C$6),'2. Investicijos'!$N$5:$N$21-('2. Investicijos'!$H$5:$H$21*'7. Pasirinktinis scenarijus'!$C$6),0),'2. Investicijos'!$O$5:$O$21/100)/SUM(IF('2. Investicijos'!$N$5:$N$21&gt;('2. Investicijos'!$H$5:$H$21*'7. Pasirinktinis scenarijus'!$C$6),'2. Investicijos'!$N$5:$N$21-('2. Investicijos'!$H$5:$H$21*'7. Pasirinktinis scenarijus'!$C$6),0)),0)</f>
        <v>#VALUE!</v>
      </c>
      <c r="K202" s="62">
        <f>SUM(AB$5:AB$21)</f>
        <v>0</v>
      </c>
      <c r="L202" s="62">
        <f>SUM(R$5:R$21)</f>
        <v>0</v>
      </c>
      <c r="M202" s="62">
        <f>SUM(AL$5:AL$21)</f>
        <v>0</v>
      </c>
      <c r="N202" s="62">
        <f>'3. Finansinės prielaidos'!E30+M202</f>
        <v>0</v>
      </c>
      <c r="O202" s="62">
        <f>'3. Finansinės prielaidos'!E31</f>
        <v>0</v>
      </c>
      <c r="P202" s="62">
        <f>'3. Finansinės prielaidos'!E32</f>
        <v>0</v>
      </c>
      <c r="Q202" s="62" t="e">
        <f t="shared" si="76"/>
        <v>#VALUE!</v>
      </c>
      <c r="R202" s="62" t="e">
        <f>R201+('3. Finansinės prielaidos'!E31-'3. Finansinės prielaidos'!D31)+Q202</f>
        <v>#VALUE!</v>
      </c>
      <c r="S202" s="62" t="e" cm="1">
        <f t="array" ref="S202">SUMPRODUCT(--(2028&gt;'2. Investicijos'!$F$5:$F$21),--(2028&lt;='2. Investicijos'!$F$5:$F$21+'2. Investicijos'!$G$5:$G$21),IFERROR(('2. Investicijos'!$M$5:$M$21+IF('2. Investicijos'!$N$5:$N$21&gt;('2. Investicijos'!$H$5:$H$21*'7. Pasirinktinis scenarijus'!$C$6),'2. Investicijos'!$N$5:$N$21-('2. Investicijos'!$H$5:$H$21*'7. Pasirinktinis scenarijus'!$C$6),0)+('2. Investicijos'!$H$5:$H$21*'7. Pasirinktinis scenarijus'!$C$6))/'2. Investicijos'!$G$5:$G$21,0))+SUMPRODUCT(--(2028&gt;'2. Investicijos'!$F$5:$F$21),--(2028&lt;='2. Investicijos'!$F$5:$F$21+'2. Investicijos'!$G$5:$G$21),IFERROR(('2. Investicijos'!$M$5:$M$21+IF('2. Investicijos'!$N$5:$N$21&gt;('2. Investicijos'!$H$5:$H$21*'7. Pasirinktinis scenarijus'!$C$6),'2. Investicijos'!$N$5:$N$21-('2. Investicijos'!$H$5:$H$21*'7. Pasirinktinis scenarijus'!$C$6),0))*(1-((2028-'2. Investicijos'!$F$5:$F$21)-1)/'2. Investicijos'!$G$5:$G$21),0)*'5. 0% scenarijus'!$C$5)</f>
        <v>#VALUE!</v>
      </c>
      <c r="T202" s="62" t="e">
        <f>'3. Finansinės prielaidos'!E29+S202+G202</f>
        <v>#VALUE!</v>
      </c>
      <c r="U202" s="62" t="e">
        <f t="shared" si="77"/>
        <v>#VALUE!</v>
      </c>
      <c r="V202" s="72" t="e">
        <f t="shared" si="78"/>
        <v>#VALUE!</v>
      </c>
      <c r="W202" s="72" t="e">
        <f t="shared" si="79"/>
        <v>#VALUE!</v>
      </c>
      <c r="X202" s="57" t="e">
        <f t="shared" si="80"/>
        <v>#VALUE!</v>
      </c>
      <c r="Y202" s="57" t="e">
        <f t="shared" si="81"/>
        <v>#VALUE!</v>
      </c>
      <c r="Z202" s="57"/>
      <c r="AA202" s="57"/>
      <c r="AB202" s="57"/>
      <c r="AC202" s="57"/>
      <c r="AD202" s="57"/>
      <c r="AE202" s="57"/>
      <c r="AF202" s="57"/>
      <c r="AG202" s="57"/>
      <c r="AH202" s="57"/>
      <c r="AI202" s="57"/>
      <c r="AJ202" s="57"/>
      <c r="AK202" s="57"/>
      <c r="AL202" s="57"/>
      <c r="AM202" s="57"/>
      <c r="AN202" s="57"/>
      <c r="AO202" s="57"/>
      <c r="AP202" s="57"/>
      <c r="AQ202" s="57"/>
      <c r="AR202" s="57"/>
      <c r="AS202" s="57"/>
    </row>
    <row r="203" spans="1:45">
      <c r="A203" s="57">
        <v>17</v>
      </c>
      <c r="B203" s="57">
        <v>2029</v>
      </c>
      <c r="C203" s="62">
        <f>SUM('4. Metinis CAPEX'!I$9:I$25)</f>
        <v>0</v>
      </c>
      <c r="D203" s="62" cm="1">
        <f t="array" ref="D203">SUMPRODUCT('4. Metinis CAPEX'!I$9:I$25,IFERROR('2. Investicijos'!$N$5:$N$21/'2. Investicijos'!$H$5:$H$21,0))</f>
        <v>0</v>
      </c>
      <c r="E203" s="62" cm="1">
        <f t="array" ref="E203">SUMPRODUCT('4. Metinis CAPEX'!I$9:I$25,IFERROR(('2. Investicijos'!$I$5:$I$21+'2. Investicijos'!$J$5:$J$21+'2. Investicijos'!$K$5:$K$21+'2. Investicijos'!$L$5:$L$21)/'2. Investicijos'!$H$5:$H$21,0))</f>
        <v>0</v>
      </c>
      <c r="F203" s="62" cm="1">
        <f t="array" ref="F203">SUM('2. Investicijos'!$H$5:$H$21*'7. Pasirinktinis scenarijus'!$C$6)</f>
        <v>0</v>
      </c>
      <c r="G203" s="62" cm="1">
        <f t="array" ref="G203">IF(AND(2029&gt;=2026,2029&lt;2026+'7. Pasirinktinis scenarijus'!$C$5),SUM('2. Investicijos'!$H$5:$H$21*'7. Pasirinktinis scenarijus'!$C$6)/'7. Pasirinktinis scenarijus'!$C$5,0)</f>
        <v>0</v>
      </c>
      <c r="H203" s="62">
        <f t="shared" si="75"/>
        <v>0</v>
      </c>
      <c r="I203" s="62">
        <f>SUM(I$5:I$21)</f>
        <v>0</v>
      </c>
      <c r="J203" s="62" t="e" cm="1">
        <f t="array" ref="J203">K203+L203+MAX(0,-R202)*IFERROR(SUMPRODUCT(IF('2. Investicijos'!$N$5:$N$21&gt;('2. Investicijos'!$H$5:$H$21*'7. Pasirinktinis scenarijus'!$C$6),'2. Investicijos'!$N$5:$N$21-('2. Investicijos'!$H$5:$H$21*'7. Pasirinktinis scenarijus'!$C$6),0),'2. Investicijos'!$O$5:$O$21/100)/SUM(IF('2. Investicijos'!$N$5:$N$21&gt;('2. Investicijos'!$H$5:$H$21*'7. Pasirinktinis scenarijus'!$C$6),'2. Investicijos'!$N$5:$N$21-('2. Investicijos'!$H$5:$H$21*'7. Pasirinktinis scenarijus'!$C$6),0)),0)</f>
        <v>#VALUE!</v>
      </c>
      <c r="K203" s="62">
        <f>SUM(AC$5:AC$21)</f>
        <v>0</v>
      </c>
      <c r="L203" s="62">
        <f>SUM(S$5:S$21)</f>
        <v>0</v>
      </c>
      <c r="M203" s="62">
        <f>SUM(AM$5:AM$21)</f>
        <v>0</v>
      </c>
      <c r="N203" s="62">
        <f>'3. Finansinės prielaidos'!F30+M203</f>
        <v>0</v>
      </c>
      <c r="O203" s="62">
        <f>'3. Finansinės prielaidos'!F31</f>
        <v>0</v>
      </c>
      <c r="P203" s="62">
        <f>'3. Finansinės prielaidos'!F32</f>
        <v>0</v>
      </c>
      <c r="Q203" s="62" t="e">
        <f t="shared" si="76"/>
        <v>#VALUE!</v>
      </c>
      <c r="R203" s="62" t="e">
        <f>R202+('3. Finansinės prielaidos'!F31-'3. Finansinės prielaidos'!E31)+Q203</f>
        <v>#VALUE!</v>
      </c>
      <c r="S203" s="62" t="e" cm="1">
        <f t="array" ref="S203">SUMPRODUCT(--(2029&gt;'2. Investicijos'!$F$5:$F$21),--(2029&lt;='2. Investicijos'!$F$5:$F$21+'2. Investicijos'!$G$5:$G$21),IFERROR(('2. Investicijos'!$M$5:$M$21+IF('2. Investicijos'!$N$5:$N$21&gt;('2. Investicijos'!$H$5:$H$21*'7. Pasirinktinis scenarijus'!$C$6),'2. Investicijos'!$N$5:$N$21-('2. Investicijos'!$H$5:$H$21*'7. Pasirinktinis scenarijus'!$C$6),0)+('2. Investicijos'!$H$5:$H$21*'7. Pasirinktinis scenarijus'!$C$6))/'2. Investicijos'!$G$5:$G$21,0))+SUMPRODUCT(--(2029&gt;'2. Investicijos'!$F$5:$F$21),--(2029&lt;='2. Investicijos'!$F$5:$F$21+'2. Investicijos'!$G$5:$G$21),IFERROR(('2. Investicijos'!$M$5:$M$21+IF('2. Investicijos'!$N$5:$N$21&gt;('2. Investicijos'!$H$5:$H$21*'7. Pasirinktinis scenarijus'!$C$6),'2. Investicijos'!$N$5:$N$21-('2. Investicijos'!$H$5:$H$21*'7. Pasirinktinis scenarijus'!$C$6),0))*(1-((2029-'2. Investicijos'!$F$5:$F$21)-1)/'2. Investicijos'!$G$5:$G$21),0)*'5. 0% scenarijus'!$C$5)</f>
        <v>#VALUE!</v>
      </c>
      <c r="T203" s="62" t="e">
        <f>'3. Finansinės prielaidos'!F29+S203+G203</f>
        <v>#VALUE!</v>
      </c>
      <c r="U203" s="62" t="e">
        <f t="shared" si="77"/>
        <v>#VALUE!</v>
      </c>
      <c r="V203" s="72" t="e">
        <f t="shared" si="78"/>
        <v>#VALUE!</v>
      </c>
      <c r="W203" s="72" t="e">
        <f t="shared" si="79"/>
        <v>#VALUE!</v>
      </c>
      <c r="X203" s="57" t="e">
        <f t="shared" si="80"/>
        <v>#VALUE!</v>
      </c>
      <c r="Y203" s="57" t="e">
        <f t="shared" si="81"/>
        <v>#VALUE!</v>
      </c>
      <c r="Z203" s="57"/>
      <c r="AA203" s="57"/>
      <c r="AB203" s="57"/>
      <c r="AC203" s="57"/>
      <c r="AD203" s="57"/>
      <c r="AE203" s="57"/>
      <c r="AF203" s="57"/>
      <c r="AG203" s="57"/>
      <c r="AH203" s="57"/>
      <c r="AI203" s="57"/>
      <c r="AJ203" s="57"/>
      <c r="AK203" s="57"/>
      <c r="AL203" s="57"/>
      <c r="AM203" s="57"/>
      <c r="AN203" s="57"/>
      <c r="AO203" s="57"/>
      <c r="AP203" s="57"/>
      <c r="AQ203" s="57"/>
      <c r="AR203" s="57"/>
      <c r="AS203" s="57"/>
    </row>
    <row r="204" spans="1:45">
      <c r="A204" s="57">
        <v>17</v>
      </c>
      <c r="B204" s="57">
        <v>2030</v>
      </c>
      <c r="C204" s="62">
        <f>SUM('4. Metinis CAPEX'!J$9:J$25)</f>
        <v>0</v>
      </c>
      <c r="D204" s="62" cm="1">
        <f t="array" ref="D204">SUMPRODUCT('4. Metinis CAPEX'!J$9:J$25,IFERROR('2. Investicijos'!$N$5:$N$21/'2. Investicijos'!$H$5:$H$21,0))</f>
        <v>0</v>
      </c>
      <c r="E204" s="62" cm="1">
        <f t="array" ref="E204">SUMPRODUCT('4. Metinis CAPEX'!J$9:J$25,IFERROR(('2. Investicijos'!$I$5:$I$21+'2. Investicijos'!$J$5:$J$21+'2. Investicijos'!$K$5:$K$21+'2. Investicijos'!$L$5:$L$21)/'2. Investicijos'!$H$5:$H$21,0))</f>
        <v>0</v>
      </c>
      <c r="F204" s="62" cm="1">
        <f t="array" ref="F204">SUM('2. Investicijos'!$H$5:$H$21*'7. Pasirinktinis scenarijus'!$C$6)</f>
        <v>0</v>
      </c>
      <c r="G204" s="62" cm="1">
        <f t="array" ref="G204">IF(AND(2030&gt;=2026,2030&lt;2026+'7. Pasirinktinis scenarijus'!$C$5),SUM('2. Investicijos'!$H$5:$H$21*'7. Pasirinktinis scenarijus'!$C$6)/'7. Pasirinktinis scenarijus'!$C$5,0)</f>
        <v>0</v>
      </c>
      <c r="H204" s="62">
        <f t="shared" si="75"/>
        <v>0</v>
      </c>
      <c r="I204" s="62">
        <f>SUM(J$5:J$21)</f>
        <v>0</v>
      </c>
      <c r="J204" s="62" t="e" cm="1">
        <f t="array" ref="J204">K204+L204+MAX(0,-R203)*IFERROR(SUMPRODUCT(IF('2. Investicijos'!$N$5:$N$21&gt;('2. Investicijos'!$H$5:$H$21*'7. Pasirinktinis scenarijus'!$C$6),'2. Investicijos'!$N$5:$N$21-('2. Investicijos'!$H$5:$H$21*'7. Pasirinktinis scenarijus'!$C$6),0),'2. Investicijos'!$O$5:$O$21/100)/SUM(IF('2. Investicijos'!$N$5:$N$21&gt;('2. Investicijos'!$H$5:$H$21*'7. Pasirinktinis scenarijus'!$C$6),'2. Investicijos'!$N$5:$N$21-('2. Investicijos'!$H$5:$H$21*'7. Pasirinktinis scenarijus'!$C$6),0)),0)</f>
        <v>#VALUE!</v>
      </c>
      <c r="K204" s="62">
        <f>SUM(AD$5:AD$21)</f>
        <v>0</v>
      </c>
      <c r="L204" s="62">
        <f>SUM(T$5:T$21)</f>
        <v>0</v>
      </c>
      <c r="M204" s="62">
        <f>SUM(AN$5:AN$21)</f>
        <v>0</v>
      </c>
      <c r="N204" s="62">
        <f>'3. Finansinės prielaidos'!G30+M204</f>
        <v>0</v>
      </c>
      <c r="O204" s="62">
        <f>'3. Finansinės prielaidos'!G31</f>
        <v>0</v>
      </c>
      <c r="P204" s="62">
        <f>'3. Finansinės prielaidos'!G32</f>
        <v>0</v>
      </c>
      <c r="Q204" s="62" t="e">
        <f t="shared" si="76"/>
        <v>#VALUE!</v>
      </c>
      <c r="R204" s="62" t="e">
        <f>R203+('3. Finansinės prielaidos'!G31-'3. Finansinės prielaidos'!F31)+Q204</f>
        <v>#VALUE!</v>
      </c>
      <c r="S204" s="62" t="e" cm="1">
        <f t="array" ref="S204">SUMPRODUCT(--(2030&gt;'2. Investicijos'!$F$5:$F$21),--(2030&lt;='2. Investicijos'!$F$5:$F$21+'2. Investicijos'!$G$5:$G$21),IFERROR(('2. Investicijos'!$M$5:$M$21+IF('2. Investicijos'!$N$5:$N$21&gt;('2. Investicijos'!$H$5:$H$21*'7. Pasirinktinis scenarijus'!$C$6),'2. Investicijos'!$N$5:$N$21-('2. Investicijos'!$H$5:$H$21*'7. Pasirinktinis scenarijus'!$C$6),0)+('2. Investicijos'!$H$5:$H$21*'7. Pasirinktinis scenarijus'!$C$6))/'2. Investicijos'!$G$5:$G$21,0))+SUMPRODUCT(--(2030&gt;'2. Investicijos'!$F$5:$F$21),--(2030&lt;='2. Investicijos'!$F$5:$F$21+'2. Investicijos'!$G$5:$G$21),IFERROR(('2. Investicijos'!$M$5:$M$21+IF('2. Investicijos'!$N$5:$N$21&gt;('2. Investicijos'!$H$5:$H$21*'7. Pasirinktinis scenarijus'!$C$6),'2. Investicijos'!$N$5:$N$21-('2. Investicijos'!$H$5:$H$21*'7. Pasirinktinis scenarijus'!$C$6),0))*(1-((2030-'2. Investicijos'!$F$5:$F$21)-1)/'2. Investicijos'!$G$5:$G$21),0)*'5. 0% scenarijus'!$C$5)</f>
        <v>#VALUE!</v>
      </c>
      <c r="T204" s="62" t="e">
        <f>'3. Finansinės prielaidos'!G29+S204+G204</f>
        <v>#VALUE!</v>
      </c>
      <c r="U204" s="62" t="e">
        <f t="shared" si="77"/>
        <v>#VALUE!</v>
      </c>
      <c r="V204" s="72" t="e">
        <f t="shared" si="78"/>
        <v>#VALUE!</v>
      </c>
      <c r="W204" s="72" t="e">
        <f t="shared" si="79"/>
        <v>#VALUE!</v>
      </c>
      <c r="X204" s="57" t="e">
        <f t="shared" si="80"/>
        <v>#VALUE!</v>
      </c>
      <c r="Y204" s="57" t="e">
        <f t="shared" si="81"/>
        <v>#VALUE!</v>
      </c>
      <c r="Z204" s="57"/>
      <c r="AA204" s="57"/>
      <c r="AB204" s="57"/>
      <c r="AC204" s="57"/>
      <c r="AD204" s="57"/>
      <c r="AE204" s="57"/>
      <c r="AF204" s="57"/>
      <c r="AG204" s="57"/>
      <c r="AH204" s="57"/>
      <c r="AI204" s="57"/>
      <c r="AJ204" s="57"/>
      <c r="AK204" s="57"/>
      <c r="AL204" s="57"/>
      <c r="AM204" s="57"/>
      <c r="AN204" s="57"/>
      <c r="AO204" s="57"/>
      <c r="AP204" s="57"/>
      <c r="AQ204" s="57"/>
      <c r="AR204" s="57"/>
      <c r="AS204" s="57"/>
    </row>
    <row r="205" spans="1:45">
      <c r="A205" s="57">
        <v>17</v>
      </c>
      <c r="B205" s="57">
        <v>2031</v>
      </c>
      <c r="C205" s="62">
        <f>SUM('4. Metinis CAPEX'!K$9:K$25)</f>
        <v>0</v>
      </c>
      <c r="D205" s="62" cm="1">
        <f t="array" ref="D205">SUMPRODUCT('4. Metinis CAPEX'!K$9:K$25,IFERROR('2. Investicijos'!$N$5:$N$21/'2. Investicijos'!$H$5:$H$21,0))</f>
        <v>0</v>
      </c>
      <c r="E205" s="62" cm="1">
        <f t="array" ref="E205">SUMPRODUCT('4. Metinis CAPEX'!K$9:K$25,IFERROR(('2. Investicijos'!$I$5:$I$21+'2. Investicijos'!$J$5:$J$21+'2. Investicijos'!$K$5:$K$21+'2. Investicijos'!$L$5:$L$21)/'2. Investicijos'!$H$5:$H$21,0))</f>
        <v>0</v>
      </c>
      <c r="F205" s="62" cm="1">
        <f t="array" ref="F205">SUM('2. Investicijos'!$H$5:$H$21*'7. Pasirinktinis scenarijus'!$C$6)</f>
        <v>0</v>
      </c>
      <c r="G205" s="62" cm="1">
        <f t="array" ref="G205">IF(AND(2031&gt;=2026,2031&lt;2026+'7. Pasirinktinis scenarijus'!$C$5),SUM('2. Investicijos'!$H$5:$H$21*'7. Pasirinktinis scenarijus'!$C$6)/'7. Pasirinktinis scenarijus'!$C$5,0)</f>
        <v>0</v>
      </c>
      <c r="H205" s="62">
        <f t="shared" si="75"/>
        <v>0</v>
      </c>
      <c r="I205" s="62">
        <f>SUM(K$5:K$21)</f>
        <v>0</v>
      </c>
      <c r="J205" s="62" t="e" cm="1">
        <f t="array" ref="J205">K205+L205+MAX(0,-R204)*IFERROR(SUMPRODUCT(IF('2. Investicijos'!$N$5:$N$21&gt;('2. Investicijos'!$H$5:$H$21*'7. Pasirinktinis scenarijus'!$C$6),'2. Investicijos'!$N$5:$N$21-('2. Investicijos'!$H$5:$H$21*'7. Pasirinktinis scenarijus'!$C$6),0),'2. Investicijos'!$O$5:$O$21/100)/SUM(IF('2. Investicijos'!$N$5:$N$21&gt;('2. Investicijos'!$H$5:$H$21*'7. Pasirinktinis scenarijus'!$C$6),'2. Investicijos'!$N$5:$N$21-('2. Investicijos'!$H$5:$H$21*'7. Pasirinktinis scenarijus'!$C$6),0)),0)</f>
        <v>#VALUE!</v>
      </c>
      <c r="K205" s="62">
        <f>SUM(AE$5:AE$21)</f>
        <v>0</v>
      </c>
      <c r="L205" s="62">
        <f>SUM(U$5:U$21)</f>
        <v>0</v>
      </c>
      <c r="M205" s="62">
        <f>SUM(AO$5:AO$21)</f>
        <v>0</v>
      </c>
      <c r="N205" s="62">
        <f>'3. Finansinės prielaidos'!H30+M205</f>
        <v>0</v>
      </c>
      <c r="O205" s="62">
        <f>'3. Finansinės prielaidos'!H31</f>
        <v>0</v>
      </c>
      <c r="P205" s="62">
        <f>'3. Finansinės prielaidos'!H32</f>
        <v>0</v>
      </c>
      <c r="Q205" s="62" t="e">
        <f t="shared" si="76"/>
        <v>#VALUE!</v>
      </c>
      <c r="R205" s="62" t="e">
        <f>R204+('3. Finansinės prielaidos'!H31-'3. Finansinės prielaidos'!G31)+Q205</f>
        <v>#VALUE!</v>
      </c>
      <c r="S205" s="62" t="e" cm="1">
        <f t="array" ref="S205">SUMPRODUCT(--(2031&gt;'2. Investicijos'!$F$5:$F$21),--(2031&lt;='2. Investicijos'!$F$5:$F$21+'2. Investicijos'!$G$5:$G$21),IFERROR(('2. Investicijos'!$M$5:$M$21+IF('2. Investicijos'!$N$5:$N$21&gt;('2. Investicijos'!$H$5:$H$21*'7. Pasirinktinis scenarijus'!$C$6),'2. Investicijos'!$N$5:$N$21-('2. Investicijos'!$H$5:$H$21*'7. Pasirinktinis scenarijus'!$C$6),0)+('2. Investicijos'!$H$5:$H$21*'7. Pasirinktinis scenarijus'!$C$6))/'2. Investicijos'!$G$5:$G$21,0))+SUMPRODUCT(--(2031&gt;'2. Investicijos'!$F$5:$F$21),--(2031&lt;='2. Investicijos'!$F$5:$F$21+'2. Investicijos'!$G$5:$G$21),IFERROR(('2. Investicijos'!$M$5:$M$21+IF('2. Investicijos'!$N$5:$N$21&gt;('2. Investicijos'!$H$5:$H$21*'7. Pasirinktinis scenarijus'!$C$6),'2. Investicijos'!$N$5:$N$21-('2. Investicijos'!$H$5:$H$21*'7. Pasirinktinis scenarijus'!$C$6),0))*(1-((2031-'2. Investicijos'!$F$5:$F$21)-1)/'2. Investicijos'!$G$5:$G$21),0)*'5. 0% scenarijus'!$C$5)</f>
        <v>#VALUE!</v>
      </c>
      <c r="T205" s="62" t="e">
        <f>'3. Finansinės prielaidos'!H29+S205+G205</f>
        <v>#VALUE!</v>
      </c>
      <c r="U205" s="62" t="e">
        <f t="shared" si="77"/>
        <v>#VALUE!</v>
      </c>
      <c r="V205" s="72" t="e">
        <f t="shared" si="78"/>
        <v>#VALUE!</v>
      </c>
      <c r="W205" s="72" t="e">
        <f t="shared" si="79"/>
        <v>#VALUE!</v>
      </c>
      <c r="X205" s="57" t="e">
        <f t="shared" si="80"/>
        <v>#VALUE!</v>
      </c>
      <c r="Y205" s="57" t="e">
        <f t="shared" si="81"/>
        <v>#VALUE!</v>
      </c>
      <c r="Z205" s="57"/>
      <c r="AA205" s="57"/>
      <c r="AB205" s="57"/>
      <c r="AC205" s="57"/>
      <c r="AD205" s="57"/>
      <c r="AE205" s="57"/>
      <c r="AF205" s="57"/>
      <c r="AG205" s="57"/>
      <c r="AH205" s="57"/>
      <c r="AI205" s="57"/>
      <c r="AJ205" s="57"/>
      <c r="AK205" s="57"/>
      <c r="AL205" s="57"/>
      <c r="AM205" s="57"/>
      <c r="AN205" s="57"/>
      <c r="AO205" s="57"/>
      <c r="AP205" s="57"/>
      <c r="AQ205" s="57"/>
      <c r="AR205" s="57"/>
      <c r="AS205" s="57"/>
    </row>
    <row r="206" spans="1:45">
      <c r="A206" s="57">
        <v>17</v>
      </c>
      <c r="B206" s="57">
        <v>2032</v>
      </c>
      <c r="C206" s="62">
        <f>SUM('4. Metinis CAPEX'!L$9:L$25)</f>
        <v>0</v>
      </c>
      <c r="D206" s="62" cm="1">
        <f t="array" ref="D206">SUMPRODUCT('4. Metinis CAPEX'!L$9:L$25,IFERROR('2. Investicijos'!$N$5:$N$21/'2. Investicijos'!$H$5:$H$21,0))</f>
        <v>0</v>
      </c>
      <c r="E206" s="62" cm="1">
        <f t="array" ref="E206">SUMPRODUCT('4. Metinis CAPEX'!L$9:L$25,IFERROR(('2. Investicijos'!$I$5:$I$21+'2. Investicijos'!$J$5:$J$21+'2. Investicijos'!$K$5:$K$21+'2. Investicijos'!$L$5:$L$21)/'2. Investicijos'!$H$5:$H$21,0))</f>
        <v>0</v>
      </c>
      <c r="F206" s="62" cm="1">
        <f t="array" ref="F206">SUM('2. Investicijos'!$H$5:$H$21*'7. Pasirinktinis scenarijus'!$C$6)</f>
        <v>0</v>
      </c>
      <c r="G206" s="62" cm="1">
        <f t="array" ref="G206">IF(AND(2032&gt;=2026,2032&lt;2026+'7. Pasirinktinis scenarijus'!$C$5),SUM('2. Investicijos'!$H$5:$H$21*'7. Pasirinktinis scenarijus'!$C$6)/'7. Pasirinktinis scenarijus'!$C$5,0)</f>
        <v>0</v>
      </c>
      <c r="H206" s="62">
        <f t="shared" si="75"/>
        <v>0</v>
      </c>
      <c r="I206" s="62">
        <f>SUM(L$5:L$21)</f>
        <v>0</v>
      </c>
      <c r="J206" s="62" t="e" cm="1">
        <f t="array" ref="J206">K206+L206+MAX(0,-R205)*IFERROR(SUMPRODUCT(IF('2. Investicijos'!$N$5:$N$21&gt;('2. Investicijos'!$H$5:$H$21*'7. Pasirinktinis scenarijus'!$C$6),'2. Investicijos'!$N$5:$N$21-('2. Investicijos'!$H$5:$H$21*'7. Pasirinktinis scenarijus'!$C$6),0),'2. Investicijos'!$O$5:$O$21/100)/SUM(IF('2. Investicijos'!$N$5:$N$21&gt;('2. Investicijos'!$H$5:$H$21*'7. Pasirinktinis scenarijus'!$C$6),'2. Investicijos'!$N$5:$N$21-('2. Investicijos'!$H$5:$H$21*'7. Pasirinktinis scenarijus'!$C$6),0)),0)</f>
        <v>#VALUE!</v>
      </c>
      <c r="K206" s="62">
        <f>SUM(AF$5:AF$21)</f>
        <v>0</v>
      </c>
      <c r="L206" s="62">
        <f>SUM(V$5:V$21)</f>
        <v>0</v>
      </c>
      <c r="M206" s="62">
        <f>SUM(AP$5:AP$21)</f>
        <v>0</v>
      </c>
      <c r="N206" s="62">
        <f>'3. Finansinės prielaidos'!I30+M206</f>
        <v>0</v>
      </c>
      <c r="O206" s="62">
        <f>'3. Finansinės prielaidos'!I31</f>
        <v>0</v>
      </c>
      <c r="P206" s="62">
        <f>'3. Finansinės prielaidos'!I32</f>
        <v>0</v>
      </c>
      <c r="Q206" s="62" t="e">
        <f t="shared" si="76"/>
        <v>#VALUE!</v>
      </c>
      <c r="R206" s="62" t="e">
        <f>R205+('3. Finansinės prielaidos'!I31-'3. Finansinės prielaidos'!H31)+Q206</f>
        <v>#VALUE!</v>
      </c>
      <c r="S206" s="62" t="e" cm="1">
        <f t="array" ref="S206">SUMPRODUCT(--(2032&gt;'2. Investicijos'!$F$5:$F$21),--(2032&lt;='2. Investicijos'!$F$5:$F$21+'2. Investicijos'!$G$5:$G$21),IFERROR(('2. Investicijos'!$M$5:$M$21+IF('2. Investicijos'!$N$5:$N$21&gt;('2. Investicijos'!$H$5:$H$21*'7. Pasirinktinis scenarijus'!$C$6),'2. Investicijos'!$N$5:$N$21-('2. Investicijos'!$H$5:$H$21*'7. Pasirinktinis scenarijus'!$C$6),0)+('2. Investicijos'!$H$5:$H$21*'7. Pasirinktinis scenarijus'!$C$6))/'2. Investicijos'!$G$5:$G$21,0))+SUMPRODUCT(--(2032&gt;'2. Investicijos'!$F$5:$F$21),--(2032&lt;='2. Investicijos'!$F$5:$F$21+'2. Investicijos'!$G$5:$G$21),IFERROR(('2. Investicijos'!$M$5:$M$21+IF('2. Investicijos'!$N$5:$N$21&gt;('2. Investicijos'!$H$5:$H$21*'7. Pasirinktinis scenarijus'!$C$6),'2. Investicijos'!$N$5:$N$21-('2. Investicijos'!$H$5:$H$21*'7. Pasirinktinis scenarijus'!$C$6),0))*(1-((2032-'2. Investicijos'!$F$5:$F$21)-1)/'2. Investicijos'!$G$5:$G$21),0)*'5. 0% scenarijus'!$C$5)</f>
        <v>#VALUE!</v>
      </c>
      <c r="T206" s="62" t="e">
        <f>'3. Finansinės prielaidos'!I29+S206+G206</f>
        <v>#VALUE!</v>
      </c>
      <c r="U206" s="62" t="e">
        <f t="shared" si="77"/>
        <v>#VALUE!</v>
      </c>
      <c r="V206" s="72" t="e">
        <f t="shared" si="78"/>
        <v>#VALUE!</v>
      </c>
      <c r="W206" s="72" t="e">
        <f t="shared" si="79"/>
        <v>#VALUE!</v>
      </c>
      <c r="X206" s="57" t="e">
        <f t="shared" si="80"/>
        <v>#VALUE!</v>
      </c>
      <c r="Y206" s="57" t="e">
        <f t="shared" si="81"/>
        <v>#VALUE!</v>
      </c>
      <c r="Z206" s="57"/>
      <c r="AA206" s="57"/>
      <c r="AB206" s="57"/>
      <c r="AC206" s="57"/>
      <c r="AD206" s="57"/>
      <c r="AE206" s="57"/>
      <c r="AF206" s="57"/>
      <c r="AG206" s="57"/>
      <c r="AH206" s="57"/>
      <c r="AI206" s="57"/>
      <c r="AJ206" s="57"/>
      <c r="AK206" s="57"/>
      <c r="AL206" s="57"/>
      <c r="AM206" s="57"/>
      <c r="AN206" s="57"/>
      <c r="AO206" s="57"/>
      <c r="AP206" s="57"/>
      <c r="AQ206" s="57"/>
      <c r="AR206" s="57"/>
      <c r="AS206" s="57"/>
    </row>
    <row r="207" spans="1:45">
      <c r="A207" s="57">
        <v>17</v>
      </c>
      <c r="B207" s="57">
        <v>2033</v>
      </c>
      <c r="C207" s="62">
        <f>SUM('4. Metinis CAPEX'!M$9:M$25)</f>
        <v>0</v>
      </c>
      <c r="D207" s="62" cm="1">
        <f t="array" ref="D207">SUMPRODUCT('4. Metinis CAPEX'!M$9:M$25,IFERROR('2. Investicijos'!$N$5:$N$21/'2. Investicijos'!$H$5:$H$21,0))</f>
        <v>0</v>
      </c>
      <c r="E207" s="62" cm="1">
        <f t="array" ref="E207">SUMPRODUCT('4. Metinis CAPEX'!M$9:M$25,IFERROR(('2. Investicijos'!$I$5:$I$21+'2. Investicijos'!$J$5:$J$21+'2. Investicijos'!$K$5:$K$21+'2. Investicijos'!$L$5:$L$21)/'2. Investicijos'!$H$5:$H$21,0))</f>
        <v>0</v>
      </c>
      <c r="F207" s="62" cm="1">
        <f t="array" ref="F207">SUM('2. Investicijos'!$H$5:$H$21*'7. Pasirinktinis scenarijus'!$C$6)</f>
        <v>0</v>
      </c>
      <c r="G207" s="62" cm="1">
        <f t="array" ref="G207">IF(AND(2033&gt;=2026,2033&lt;2026+'7. Pasirinktinis scenarijus'!$C$5),SUM('2. Investicijos'!$H$5:$H$21*'7. Pasirinktinis scenarijus'!$C$6)/'7. Pasirinktinis scenarijus'!$C$5,0)</f>
        <v>0</v>
      </c>
      <c r="H207" s="62">
        <f t="shared" si="75"/>
        <v>0</v>
      </c>
      <c r="I207" s="62">
        <f>SUM(M$5:M$21)</f>
        <v>0</v>
      </c>
      <c r="J207" s="62" t="e" cm="1">
        <f t="array" ref="J207">K207+L207+MAX(0,-R206)*IFERROR(SUMPRODUCT(IF('2. Investicijos'!$N$5:$N$21&gt;('2. Investicijos'!$H$5:$H$21*'7. Pasirinktinis scenarijus'!$C$6),'2. Investicijos'!$N$5:$N$21-('2. Investicijos'!$H$5:$H$21*'7. Pasirinktinis scenarijus'!$C$6),0),'2. Investicijos'!$O$5:$O$21/100)/SUM(IF('2. Investicijos'!$N$5:$N$21&gt;('2. Investicijos'!$H$5:$H$21*'7. Pasirinktinis scenarijus'!$C$6),'2. Investicijos'!$N$5:$N$21-('2. Investicijos'!$H$5:$H$21*'7. Pasirinktinis scenarijus'!$C$6),0)),0)</f>
        <v>#VALUE!</v>
      </c>
      <c r="K207" s="62">
        <f>SUM(AG$5:AG$21)</f>
        <v>0</v>
      </c>
      <c r="L207" s="62">
        <f>SUM(W$5:W$21)</f>
        <v>0</v>
      </c>
      <c r="M207" s="62">
        <f>SUM(AQ$5:AQ$21)</f>
        <v>0</v>
      </c>
      <c r="N207" s="62">
        <f>'3. Finansinės prielaidos'!J30+M207</f>
        <v>0</v>
      </c>
      <c r="O207" s="62">
        <f>'3. Finansinės prielaidos'!J31</f>
        <v>0</v>
      </c>
      <c r="P207" s="62">
        <f>'3. Finansinės prielaidos'!J32</f>
        <v>0</v>
      </c>
      <c r="Q207" s="62" t="e">
        <f t="shared" si="76"/>
        <v>#VALUE!</v>
      </c>
      <c r="R207" s="62" t="e">
        <f>R206+('3. Finansinės prielaidos'!J31-'3. Finansinės prielaidos'!I31)+Q207</f>
        <v>#VALUE!</v>
      </c>
      <c r="S207" s="62" t="e" cm="1">
        <f t="array" ref="S207">SUMPRODUCT(--(2033&gt;'2. Investicijos'!$F$5:$F$21),--(2033&lt;='2. Investicijos'!$F$5:$F$21+'2. Investicijos'!$G$5:$G$21),IFERROR(('2. Investicijos'!$M$5:$M$21+IF('2. Investicijos'!$N$5:$N$21&gt;('2. Investicijos'!$H$5:$H$21*'7. Pasirinktinis scenarijus'!$C$6),'2. Investicijos'!$N$5:$N$21-('2. Investicijos'!$H$5:$H$21*'7. Pasirinktinis scenarijus'!$C$6),0)+('2. Investicijos'!$H$5:$H$21*'7. Pasirinktinis scenarijus'!$C$6))/'2. Investicijos'!$G$5:$G$21,0))+SUMPRODUCT(--(2033&gt;'2. Investicijos'!$F$5:$F$21),--(2033&lt;='2. Investicijos'!$F$5:$F$21+'2. Investicijos'!$G$5:$G$21),IFERROR(('2. Investicijos'!$M$5:$M$21+IF('2. Investicijos'!$N$5:$N$21&gt;('2. Investicijos'!$H$5:$H$21*'7. Pasirinktinis scenarijus'!$C$6),'2. Investicijos'!$N$5:$N$21-('2. Investicijos'!$H$5:$H$21*'7. Pasirinktinis scenarijus'!$C$6),0))*(1-((2033-'2. Investicijos'!$F$5:$F$21)-1)/'2. Investicijos'!$G$5:$G$21),0)*'5. 0% scenarijus'!$C$5)</f>
        <v>#VALUE!</v>
      </c>
      <c r="T207" s="62" t="e">
        <f>'3. Finansinės prielaidos'!J29+S207+G207</f>
        <v>#VALUE!</v>
      </c>
      <c r="U207" s="62" t="e">
        <f t="shared" si="77"/>
        <v>#VALUE!</v>
      </c>
      <c r="V207" s="72" t="e">
        <f t="shared" si="78"/>
        <v>#VALUE!</v>
      </c>
      <c r="W207" s="72" t="e">
        <f t="shared" si="79"/>
        <v>#VALUE!</v>
      </c>
      <c r="X207" s="57" t="e">
        <f t="shared" si="80"/>
        <v>#VALUE!</v>
      </c>
      <c r="Y207" s="57" t="e">
        <f t="shared" si="81"/>
        <v>#VALUE!</v>
      </c>
      <c r="Z207" s="57"/>
      <c r="AA207" s="57"/>
      <c r="AB207" s="57"/>
      <c r="AC207" s="57"/>
      <c r="AD207" s="57"/>
      <c r="AE207" s="57"/>
      <c r="AF207" s="57"/>
      <c r="AG207" s="57"/>
      <c r="AH207" s="57"/>
      <c r="AI207" s="57"/>
      <c r="AJ207" s="57"/>
      <c r="AK207" s="57"/>
      <c r="AL207" s="57"/>
      <c r="AM207" s="57"/>
      <c r="AN207" s="57"/>
      <c r="AO207" s="57"/>
      <c r="AP207" s="57"/>
      <c r="AQ207" s="57"/>
      <c r="AR207" s="57"/>
      <c r="AS207" s="57"/>
    </row>
    <row r="208" spans="1:45">
      <c r="A208" s="57">
        <v>17</v>
      </c>
      <c r="B208" s="57">
        <v>2034</v>
      </c>
      <c r="C208" s="62">
        <f>SUM('4. Metinis CAPEX'!N$9:N$25)</f>
        <v>0</v>
      </c>
      <c r="D208" s="62" cm="1">
        <f t="array" ref="D208">SUMPRODUCT('4. Metinis CAPEX'!N$9:N$25,IFERROR('2. Investicijos'!$N$5:$N$21/'2. Investicijos'!$H$5:$H$21,0))</f>
        <v>0</v>
      </c>
      <c r="E208" s="62" cm="1">
        <f t="array" ref="E208">SUMPRODUCT('4. Metinis CAPEX'!N$9:N$25,IFERROR(('2. Investicijos'!$I$5:$I$21+'2. Investicijos'!$J$5:$J$21+'2. Investicijos'!$K$5:$K$21+'2. Investicijos'!$L$5:$L$21)/'2. Investicijos'!$H$5:$H$21,0))</f>
        <v>0</v>
      </c>
      <c r="F208" s="62" cm="1">
        <f t="array" ref="F208">SUM('2. Investicijos'!$H$5:$H$21*'7. Pasirinktinis scenarijus'!$C$6)</f>
        <v>0</v>
      </c>
      <c r="G208" s="62" cm="1">
        <f t="array" ref="G208">IF(AND(2034&gt;=2026,2034&lt;2026+'7. Pasirinktinis scenarijus'!$C$5),SUM('2. Investicijos'!$H$5:$H$21*'7. Pasirinktinis scenarijus'!$C$6)/'7. Pasirinktinis scenarijus'!$C$5,0)</f>
        <v>0</v>
      </c>
      <c r="H208" s="62">
        <f t="shared" si="75"/>
        <v>0</v>
      </c>
      <c r="I208" s="62">
        <f>SUM(N$5:N$21)</f>
        <v>0</v>
      </c>
      <c r="J208" s="62" t="e" cm="1">
        <f t="array" ref="J208">K208+L208+MAX(0,-R207)*IFERROR(SUMPRODUCT(IF('2. Investicijos'!$N$5:$N$21&gt;('2. Investicijos'!$H$5:$H$21*'7. Pasirinktinis scenarijus'!$C$6),'2. Investicijos'!$N$5:$N$21-('2. Investicijos'!$H$5:$H$21*'7. Pasirinktinis scenarijus'!$C$6),0),'2. Investicijos'!$O$5:$O$21/100)/SUM(IF('2. Investicijos'!$N$5:$N$21&gt;('2. Investicijos'!$H$5:$H$21*'7. Pasirinktinis scenarijus'!$C$6),'2. Investicijos'!$N$5:$N$21-('2. Investicijos'!$H$5:$H$21*'7. Pasirinktinis scenarijus'!$C$6),0)),0)</f>
        <v>#VALUE!</v>
      </c>
      <c r="K208" s="62">
        <f>SUM(AH$5:AH$21)</f>
        <v>0</v>
      </c>
      <c r="L208" s="62">
        <f>SUM(X$5:X$21)</f>
        <v>0</v>
      </c>
      <c r="M208" s="62">
        <f>SUM(AR$5:AR$21)</f>
        <v>0</v>
      </c>
      <c r="N208" s="62">
        <f>'3. Finansinės prielaidos'!K30+M208</f>
        <v>0</v>
      </c>
      <c r="O208" s="62">
        <f>'3. Finansinės prielaidos'!K31</f>
        <v>0</v>
      </c>
      <c r="P208" s="62">
        <f>'3. Finansinės prielaidos'!K32</f>
        <v>0</v>
      </c>
      <c r="Q208" s="62" t="e">
        <f t="shared" si="76"/>
        <v>#VALUE!</v>
      </c>
      <c r="R208" s="62" t="e">
        <f>R207+('3. Finansinės prielaidos'!K31-'3. Finansinės prielaidos'!J31)+Q208</f>
        <v>#VALUE!</v>
      </c>
      <c r="S208" s="62" t="e" cm="1">
        <f t="array" ref="S208">SUMPRODUCT(--(2034&gt;'2. Investicijos'!$F$5:$F$21),--(2034&lt;='2. Investicijos'!$F$5:$F$21+'2. Investicijos'!$G$5:$G$21),IFERROR(('2. Investicijos'!$M$5:$M$21+IF('2. Investicijos'!$N$5:$N$21&gt;('2. Investicijos'!$H$5:$H$21*'7. Pasirinktinis scenarijus'!$C$6),'2. Investicijos'!$N$5:$N$21-('2. Investicijos'!$H$5:$H$21*'7. Pasirinktinis scenarijus'!$C$6),0)+('2. Investicijos'!$H$5:$H$21*'7. Pasirinktinis scenarijus'!$C$6))/'2. Investicijos'!$G$5:$G$21,0))+SUMPRODUCT(--(2034&gt;'2. Investicijos'!$F$5:$F$21),--(2034&lt;='2. Investicijos'!$F$5:$F$21+'2. Investicijos'!$G$5:$G$21),IFERROR(('2. Investicijos'!$M$5:$M$21+IF('2. Investicijos'!$N$5:$N$21&gt;('2. Investicijos'!$H$5:$H$21*'7. Pasirinktinis scenarijus'!$C$6),'2. Investicijos'!$N$5:$N$21-('2. Investicijos'!$H$5:$H$21*'7. Pasirinktinis scenarijus'!$C$6),0))*(1-((2034-'2. Investicijos'!$F$5:$F$21)-1)/'2. Investicijos'!$G$5:$G$21),0)*'5. 0% scenarijus'!$C$5)</f>
        <v>#VALUE!</v>
      </c>
      <c r="T208" s="62" t="e">
        <f>'3. Finansinės prielaidos'!K29+S208+G208</f>
        <v>#VALUE!</v>
      </c>
      <c r="U208" s="62" t="e">
        <f t="shared" si="77"/>
        <v>#VALUE!</v>
      </c>
      <c r="V208" s="72" t="e">
        <f t="shared" si="78"/>
        <v>#VALUE!</v>
      </c>
      <c r="W208" s="72" t="e">
        <f t="shared" si="79"/>
        <v>#VALUE!</v>
      </c>
      <c r="X208" s="57" t="e">
        <f t="shared" si="80"/>
        <v>#VALUE!</v>
      </c>
      <c r="Y208" s="57" t="e">
        <f t="shared" si="81"/>
        <v>#VALUE!</v>
      </c>
      <c r="Z208" s="57"/>
      <c r="AA208" s="57"/>
      <c r="AB208" s="57"/>
      <c r="AC208" s="57"/>
      <c r="AD208" s="57"/>
      <c r="AE208" s="57"/>
      <c r="AF208" s="57"/>
      <c r="AG208" s="57"/>
      <c r="AH208" s="57"/>
      <c r="AI208" s="57"/>
      <c r="AJ208" s="57"/>
      <c r="AK208" s="57"/>
      <c r="AL208" s="57"/>
      <c r="AM208" s="57"/>
      <c r="AN208" s="57"/>
      <c r="AO208" s="57"/>
      <c r="AP208" s="57"/>
      <c r="AQ208" s="57"/>
      <c r="AR208" s="57"/>
      <c r="AS208" s="57"/>
    </row>
    <row r="209" spans="1:45">
      <c r="A209" s="57">
        <v>17</v>
      </c>
      <c r="B209" s="57">
        <v>2035</v>
      </c>
      <c r="C209" s="62">
        <f>SUM('4. Metinis CAPEX'!O$9:O$25)</f>
        <v>0</v>
      </c>
      <c r="D209" s="62" cm="1">
        <f t="array" ref="D209">SUMPRODUCT('4. Metinis CAPEX'!O$9:O$25,IFERROR('2. Investicijos'!$N$5:$N$21/'2. Investicijos'!$H$5:$H$21,0))</f>
        <v>0</v>
      </c>
      <c r="E209" s="62" cm="1">
        <f t="array" ref="E209">SUMPRODUCT('4. Metinis CAPEX'!O$9:O$25,IFERROR(('2. Investicijos'!$I$5:$I$21+'2. Investicijos'!$J$5:$J$21+'2. Investicijos'!$K$5:$K$21+'2. Investicijos'!$L$5:$L$21)/'2. Investicijos'!$H$5:$H$21,0))</f>
        <v>0</v>
      </c>
      <c r="F209" s="62" cm="1">
        <f t="array" ref="F209">SUM('2. Investicijos'!$H$5:$H$21*'7. Pasirinktinis scenarijus'!$C$6)</f>
        <v>0</v>
      </c>
      <c r="G209" s="62" cm="1">
        <f t="array" ref="G209">IF(AND(2035&gt;=2026,2035&lt;2026+'7. Pasirinktinis scenarijus'!$C$5),SUM('2. Investicijos'!$H$5:$H$21*'7. Pasirinktinis scenarijus'!$C$6)/'7. Pasirinktinis scenarijus'!$C$5,0)</f>
        <v>0</v>
      </c>
      <c r="H209" s="62">
        <f t="shared" si="75"/>
        <v>0</v>
      </c>
      <c r="I209" s="62">
        <f>SUM(O$5:O$21)</f>
        <v>0</v>
      </c>
      <c r="J209" s="62" t="e" cm="1">
        <f t="array" ref="J209">K209+L209+MAX(0,-R208)*IFERROR(SUMPRODUCT(IF('2. Investicijos'!$N$5:$N$21&gt;('2. Investicijos'!$H$5:$H$21*'7. Pasirinktinis scenarijus'!$C$6),'2. Investicijos'!$N$5:$N$21-('2. Investicijos'!$H$5:$H$21*'7. Pasirinktinis scenarijus'!$C$6),0),'2. Investicijos'!$O$5:$O$21/100)/SUM(IF('2. Investicijos'!$N$5:$N$21&gt;('2. Investicijos'!$H$5:$H$21*'7. Pasirinktinis scenarijus'!$C$6),'2. Investicijos'!$N$5:$N$21-('2. Investicijos'!$H$5:$H$21*'7. Pasirinktinis scenarijus'!$C$6),0)),0)</f>
        <v>#VALUE!</v>
      </c>
      <c r="K209" s="62">
        <f>SUM(AI$5:AI$21)</f>
        <v>0</v>
      </c>
      <c r="L209" s="62">
        <f>SUM(Y$5:Y$21)</f>
        <v>0</v>
      </c>
      <c r="M209" s="62">
        <f>SUM(AS$5:AS$21)</f>
        <v>0</v>
      </c>
      <c r="N209" s="62">
        <f>'3. Finansinės prielaidos'!L30+M209</f>
        <v>0</v>
      </c>
      <c r="O209" s="62">
        <f>'3. Finansinės prielaidos'!L31</f>
        <v>0</v>
      </c>
      <c r="P209" s="62">
        <f>'3. Finansinės prielaidos'!L32</f>
        <v>0</v>
      </c>
      <c r="Q209" s="62" t="e">
        <f t="shared" si="76"/>
        <v>#VALUE!</v>
      </c>
      <c r="R209" s="62" t="e">
        <f>R208+('3. Finansinės prielaidos'!L31-'3. Finansinės prielaidos'!K31)+Q209</f>
        <v>#VALUE!</v>
      </c>
      <c r="S209" s="62" t="e" cm="1">
        <f t="array" ref="S209">SUMPRODUCT(--(2035&gt;'2. Investicijos'!$F$5:$F$21),--(2035&lt;='2. Investicijos'!$F$5:$F$21+'2. Investicijos'!$G$5:$G$21),IFERROR(('2. Investicijos'!$M$5:$M$21+IF('2. Investicijos'!$N$5:$N$21&gt;('2. Investicijos'!$H$5:$H$21*'7. Pasirinktinis scenarijus'!$C$6),'2. Investicijos'!$N$5:$N$21-('2. Investicijos'!$H$5:$H$21*'7. Pasirinktinis scenarijus'!$C$6),0)+('2. Investicijos'!$H$5:$H$21*'7. Pasirinktinis scenarijus'!$C$6))/'2. Investicijos'!$G$5:$G$21,0))+SUMPRODUCT(--(2035&gt;'2. Investicijos'!$F$5:$F$21),--(2035&lt;='2. Investicijos'!$F$5:$F$21+'2. Investicijos'!$G$5:$G$21),IFERROR(('2. Investicijos'!$M$5:$M$21+IF('2. Investicijos'!$N$5:$N$21&gt;('2. Investicijos'!$H$5:$H$21*'7. Pasirinktinis scenarijus'!$C$6),'2. Investicijos'!$N$5:$N$21-('2. Investicijos'!$H$5:$H$21*'7. Pasirinktinis scenarijus'!$C$6),0))*(1-((2035-'2. Investicijos'!$F$5:$F$21)-1)/'2. Investicijos'!$G$5:$G$21),0)*'5. 0% scenarijus'!$C$5)</f>
        <v>#VALUE!</v>
      </c>
      <c r="T209" s="62" t="e">
        <f>'3. Finansinės prielaidos'!L29+S209+G209</f>
        <v>#VALUE!</v>
      </c>
      <c r="U209" s="62" t="e">
        <f t="shared" si="77"/>
        <v>#VALUE!</v>
      </c>
      <c r="V209" s="72" t="e">
        <f t="shared" si="78"/>
        <v>#VALUE!</v>
      </c>
      <c r="W209" s="72" t="e">
        <f t="shared" si="79"/>
        <v>#VALUE!</v>
      </c>
      <c r="X209" s="57" t="e">
        <f t="shared" si="80"/>
        <v>#VALUE!</v>
      </c>
      <c r="Y209" s="57" t="e">
        <f t="shared" si="81"/>
        <v>#VALUE!</v>
      </c>
      <c r="Z209" s="57"/>
      <c r="AA209" s="57"/>
      <c r="AB209" s="57"/>
      <c r="AC209" s="57"/>
      <c r="AD209" s="57"/>
      <c r="AE209" s="57"/>
      <c r="AF209" s="57"/>
      <c r="AG209" s="57"/>
      <c r="AH209" s="57"/>
      <c r="AI209" s="57"/>
      <c r="AJ209" s="57"/>
      <c r="AK209" s="57"/>
      <c r="AL209" s="57"/>
      <c r="AM209" s="57"/>
      <c r="AN209" s="57"/>
      <c r="AO209" s="57"/>
      <c r="AP209" s="57"/>
      <c r="AQ209" s="57"/>
      <c r="AR209" s="57"/>
      <c r="AS209" s="57"/>
    </row>
    <row r="210" spans="1:45">
      <c r="A210" s="57">
        <v>18</v>
      </c>
      <c r="B210" s="57">
        <v>2026</v>
      </c>
      <c r="C210" s="62">
        <f>SUM('4. Metinis CAPEX'!F$9:F$26)</f>
        <v>0</v>
      </c>
      <c r="D210" s="62" cm="1">
        <f t="array" ref="D210">SUMPRODUCT('4. Metinis CAPEX'!F$9:F$26,IFERROR('2. Investicijos'!$N$5:$N$22/'2. Investicijos'!$H$5:$H$22,0))</f>
        <v>0</v>
      </c>
      <c r="E210" s="62" cm="1">
        <f t="array" ref="E210">SUMPRODUCT('4. Metinis CAPEX'!F$9:F$26,IFERROR(('2. Investicijos'!$I$5:$I$22+'2. Investicijos'!$J$5:$J$22+'2. Investicijos'!$K$5:$K$22+'2. Investicijos'!$L$5:$L$22)/'2. Investicijos'!$H$5:$H$22,0))</f>
        <v>0</v>
      </c>
      <c r="F210" s="62" cm="1">
        <f t="array" ref="F210">SUM('2. Investicijos'!$H$5:$H$22*'7. Pasirinktinis scenarijus'!$C$6)</f>
        <v>0</v>
      </c>
      <c r="G210" s="62" cm="1">
        <f t="array" ref="G210">IF(AND(2026&gt;=2026,2026&lt;2026+'7. Pasirinktinis scenarijus'!$C$5),SUM('2. Investicijos'!$H$5:$H$22*'7. Pasirinktinis scenarijus'!$C$6)/'7. Pasirinktinis scenarijus'!$C$5,0)</f>
        <v>0</v>
      </c>
      <c r="H210" s="62">
        <f t="shared" si="75"/>
        <v>0</v>
      </c>
      <c r="I210" s="62">
        <f>SUM(F$5:F$22)</f>
        <v>0</v>
      </c>
      <c r="J210" s="62">
        <f>0</f>
        <v>0</v>
      </c>
      <c r="K210" s="62">
        <f>SUM(Z$5:Z$22)</f>
        <v>0</v>
      </c>
      <c r="L210" s="62">
        <f>SUM(P$5:P$22)</f>
        <v>0</v>
      </c>
      <c r="M210" s="62">
        <f>SUM(AJ$5:AJ$22)</f>
        <v>0</v>
      </c>
      <c r="N210" s="62">
        <f>'3. Finansinės prielaidos'!C30+M210</f>
        <v>0</v>
      </c>
      <c r="O210" s="62">
        <f>'3. Finansinės prielaidos'!C31</f>
        <v>0</v>
      </c>
      <c r="P210" s="62">
        <f>'3. Finansinės prielaidos'!C32</f>
        <v>0</v>
      </c>
      <c r="Q210" s="62" t="e">
        <f t="shared" si="76"/>
        <v>#VALUE!</v>
      </c>
      <c r="R210" s="62" t="e">
        <f>O210+Q210</f>
        <v>#VALUE!</v>
      </c>
      <c r="S210" s="62" t="e" cm="1">
        <f t="array" ref="S210">SUMPRODUCT(--(2026&gt;'2. Investicijos'!$F$5:$F$22),--(2026&lt;='2. Investicijos'!$F$5:$F$22+'2. Investicijos'!$G$5:$G$22),IFERROR(('2. Investicijos'!$M$5:$M$22+IF('2. Investicijos'!$N$5:$N$22&gt;('2. Investicijos'!$H$5:$H$22*'7. Pasirinktinis scenarijus'!$C$6),'2. Investicijos'!$N$5:$N$22-('2. Investicijos'!$H$5:$H$22*'7. Pasirinktinis scenarijus'!$C$6),0)+('2. Investicijos'!$H$5:$H$22*'7. Pasirinktinis scenarijus'!$C$6))/'2. Investicijos'!$G$5:$G$22,0))+SUMPRODUCT(--(2026&gt;'2. Investicijos'!$F$5:$F$22),--(2026&lt;='2. Investicijos'!$F$5:$F$22+'2. Investicijos'!$G$5:$G$22),IFERROR(('2. Investicijos'!$M$5:$M$22+IF('2. Investicijos'!$N$5:$N$22&gt;('2. Investicijos'!$H$5:$H$22*'7. Pasirinktinis scenarijus'!$C$6),'2. Investicijos'!$N$5:$N$22-('2. Investicijos'!$H$5:$H$22*'7. Pasirinktinis scenarijus'!$C$6),0))*(1-((2026-'2. Investicijos'!$F$5:$F$22)-1)/'2. Investicijos'!$G$5:$G$22),0)*'5. 0% scenarijus'!$C$5)</f>
        <v>#VALUE!</v>
      </c>
      <c r="T210" s="62" t="e">
        <f>'3. Finansinės prielaidos'!C29+S210+G210</f>
        <v>#VALUE!</v>
      </c>
      <c r="U210" s="62" t="e">
        <f t="shared" si="77"/>
        <v>#VALUE!</v>
      </c>
      <c r="V210" s="72" t="e">
        <f t="shared" si="78"/>
        <v>#VALUE!</v>
      </c>
      <c r="W210" s="72" t="e">
        <f t="shared" si="79"/>
        <v>#VALUE!</v>
      </c>
      <c r="X210" s="57" t="e">
        <f t="shared" si="80"/>
        <v>#VALUE!</v>
      </c>
      <c r="Y210" s="57" t="e">
        <f t="shared" si="81"/>
        <v>#VALUE!</v>
      </c>
      <c r="Z210" s="57"/>
      <c r="AA210" s="57"/>
      <c r="AB210" s="57"/>
      <c r="AC210" s="57"/>
      <c r="AD210" s="57"/>
      <c r="AE210" s="57"/>
      <c r="AF210" s="57"/>
      <c r="AG210" s="57"/>
      <c r="AH210" s="57"/>
      <c r="AI210" s="57"/>
      <c r="AJ210" s="57"/>
      <c r="AK210" s="57"/>
      <c r="AL210" s="57"/>
      <c r="AM210" s="57"/>
      <c r="AN210" s="57"/>
      <c r="AO210" s="57"/>
      <c r="AP210" s="57"/>
      <c r="AQ210" s="57"/>
      <c r="AR210" s="57"/>
      <c r="AS210" s="57"/>
    </row>
    <row r="211" spans="1:45">
      <c r="A211" s="57">
        <v>18</v>
      </c>
      <c r="B211" s="57">
        <v>2027</v>
      </c>
      <c r="C211" s="62">
        <f>SUM('4. Metinis CAPEX'!G$9:G$26)</f>
        <v>0</v>
      </c>
      <c r="D211" s="62" cm="1">
        <f t="array" ref="D211">SUMPRODUCT('4. Metinis CAPEX'!G$9:G$26,IFERROR('2. Investicijos'!$N$5:$N$22/'2. Investicijos'!$H$5:$H$22,0))</f>
        <v>0</v>
      </c>
      <c r="E211" s="62" cm="1">
        <f t="array" ref="E211">SUMPRODUCT('4. Metinis CAPEX'!G$9:G$26,IFERROR(('2. Investicijos'!$I$5:$I$22+'2. Investicijos'!$J$5:$J$22+'2. Investicijos'!$K$5:$K$22+'2. Investicijos'!$L$5:$L$22)/'2. Investicijos'!$H$5:$H$22,0))</f>
        <v>0</v>
      </c>
      <c r="F211" s="62" cm="1">
        <f t="array" ref="F211">SUM('2. Investicijos'!$H$5:$H$22*'7. Pasirinktinis scenarijus'!$C$6)</f>
        <v>0</v>
      </c>
      <c r="G211" s="62" cm="1">
        <f t="array" ref="G211">IF(AND(2027&gt;=2026,2027&lt;2026+'7. Pasirinktinis scenarijus'!$C$5),SUM('2. Investicijos'!$H$5:$H$22*'7. Pasirinktinis scenarijus'!$C$6)/'7. Pasirinktinis scenarijus'!$C$5,0)</f>
        <v>0</v>
      </c>
      <c r="H211" s="62">
        <f t="shared" si="75"/>
        <v>0</v>
      </c>
      <c r="I211" s="62">
        <f>SUM(G$5:G$22)</f>
        <v>0</v>
      </c>
      <c r="J211" s="62" t="e" cm="1">
        <f t="array" ref="J211">K211+L211+MAX(0,-R210)*IFERROR(SUMPRODUCT(IF('2. Investicijos'!$N$5:$N$22&gt;('2. Investicijos'!$H$5:$H$22*'7. Pasirinktinis scenarijus'!$C$6),'2. Investicijos'!$N$5:$N$22-('2. Investicijos'!$H$5:$H$22*'7. Pasirinktinis scenarijus'!$C$6),0),'2. Investicijos'!$O$5:$O$22/100)/SUM(IF('2. Investicijos'!$N$5:$N$22&gt;('2. Investicijos'!$H$5:$H$22*'7. Pasirinktinis scenarijus'!$C$6),'2. Investicijos'!$N$5:$N$22-('2. Investicijos'!$H$5:$H$22*'7. Pasirinktinis scenarijus'!$C$6),0)),0)</f>
        <v>#VALUE!</v>
      </c>
      <c r="K211" s="62">
        <f>SUM(AA$5:AA$22)</f>
        <v>0</v>
      </c>
      <c r="L211" s="62">
        <f>SUM(Q$5:Q$22)</f>
        <v>0</v>
      </c>
      <c r="M211" s="62">
        <f>SUM(AK$5:AK$22)</f>
        <v>0</v>
      </c>
      <c r="N211" s="62">
        <f>'3. Finansinės prielaidos'!D30+M211</f>
        <v>0</v>
      </c>
      <c r="O211" s="62">
        <f>'3. Finansinės prielaidos'!D31</f>
        <v>0</v>
      </c>
      <c r="P211" s="62">
        <f>'3. Finansinės prielaidos'!D32</f>
        <v>0</v>
      </c>
      <c r="Q211" s="62" t="e">
        <f t="shared" si="76"/>
        <v>#VALUE!</v>
      </c>
      <c r="R211" s="62" t="e">
        <f>R210+('3. Finansinės prielaidos'!D31-'3. Finansinės prielaidos'!C31)+Q211</f>
        <v>#VALUE!</v>
      </c>
      <c r="S211" s="62" t="e" cm="1">
        <f t="array" ref="S211">SUMPRODUCT(--(2027&gt;'2. Investicijos'!$F$5:$F$22),--(2027&lt;='2. Investicijos'!$F$5:$F$22+'2. Investicijos'!$G$5:$G$22),IFERROR(('2. Investicijos'!$M$5:$M$22+IF('2. Investicijos'!$N$5:$N$22&gt;('2. Investicijos'!$H$5:$H$22*'7. Pasirinktinis scenarijus'!$C$6),'2. Investicijos'!$N$5:$N$22-('2. Investicijos'!$H$5:$H$22*'7. Pasirinktinis scenarijus'!$C$6),0)+('2. Investicijos'!$H$5:$H$22*'7. Pasirinktinis scenarijus'!$C$6))/'2. Investicijos'!$G$5:$G$22,0))+SUMPRODUCT(--(2027&gt;'2. Investicijos'!$F$5:$F$22),--(2027&lt;='2. Investicijos'!$F$5:$F$22+'2. Investicijos'!$G$5:$G$22),IFERROR(('2. Investicijos'!$M$5:$M$22+IF('2. Investicijos'!$N$5:$N$22&gt;('2. Investicijos'!$H$5:$H$22*'7. Pasirinktinis scenarijus'!$C$6),'2. Investicijos'!$N$5:$N$22-('2. Investicijos'!$H$5:$H$22*'7. Pasirinktinis scenarijus'!$C$6),0))*(1-((2027-'2. Investicijos'!$F$5:$F$22)-1)/'2. Investicijos'!$G$5:$G$22),0)*'5. 0% scenarijus'!$C$5)</f>
        <v>#VALUE!</v>
      </c>
      <c r="T211" s="62" t="e">
        <f>'3. Finansinės prielaidos'!D29+S211+G211</f>
        <v>#VALUE!</v>
      </c>
      <c r="U211" s="62" t="e">
        <f t="shared" si="77"/>
        <v>#VALUE!</v>
      </c>
      <c r="V211" s="72" t="e">
        <f t="shared" si="78"/>
        <v>#VALUE!</v>
      </c>
      <c r="W211" s="72" t="e">
        <f t="shared" si="79"/>
        <v>#VALUE!</v>
      </c>
      <c r="X211" s="57" t="e">
        <f t="shared" si="80"/>
        <v>#VALUE!</v>
      </c>
      <c r="Y211" s="57" t="e">
        <f t="shared" si="81"/>
        <v>#VALUE!</v>
      </c>
      <c r="Z211" s="57"/>
      <c r="AA211" s="57"/>
      <c r="AB211" s="57"/>
      <c r="AC211" s="57"/>
      <c r="AD211" s="57"/>
      <c r="AE211" s="57"/>
      <c r="AF211" s="57"/>
      <c r="AG211" s="57"/>
      <c r="AH211" s="57"/>
      <c r="AI211" s="57"/>
      <c r="AJ211" s="57"/>
      <c r="AK211" s="57"/>
      <c r="AL211" s="57"/>
      <c r="AM211" s="57"/>
      <c r="AN211" s="57"/>
      <c r="AO211" s="57"/>
      <c r="AP211" s="57"/>
      <c r="AQ211" s="57"/>
      <c r="AR211" s="57"/>
      <c r="AS211" s="57"/>
    </row>
    <row r="212" spans="1:45">
      <c r="A212" s="57">
        <v>18</v>
      </c>
      <c r="B212" s="57">
        <v>2028</v>
      </c>
      <c r="C212" s="62">
        <f>SUM('4. Metinis CAPEX'!H$9:H$26)</f>
        <v>0</v>
      </c>
      <c r="D212" s="62" cm="1">
        <f t="array" ref="D212">SUMPRODUCT('4. Metinis CAPEX'!H$9:H$26,IFERROR('2. Investicijos'!$N$5:$N$22/'2. Investicijos'!$H$5:$H$22,0))</f>
        <v>0</v>
      </c>
      <c r="E212" s="62" cm="1">
        <f t="array" ref="E212">SUMPRODUCT('4. Metinis CAPEX'!H$9:H$26,IFERROR(('2. Investicijos'!$I$5:$I$22+'2. Investicijos'!$J$5:$J$22+'2. Investicijos'!$K$5:$K$22+'2. Investicijos'!$L$5:$L$22)/'2. Investicijos'!$H$5:$H$22,0))</f>
        <v>0</v>
      </c>
      <c r="F212" s="62" cm="1">
        <f t="array" ref="F212">SUM('2. Investicijos'!$H$5:$H$22*'7. Pasirinktinis scenarijus'!$C$6)</f>
        <v>0</v>
      </c>
      <c r="G212" s="62" cm="1">
        <f t="array" ref="G212">IF(AND(2028&gt;=2026,2028&lt;2026+'7. Pasirinktinis scenarijus'!$C$5),SUM('2. Investicijos'!$H$5:$H$22*'7. Pasirinktinis scenarijus'!$C$6)/'7. Pasirinktinis scenarijus'!$C$5,0)</f>
        <v>0</v>
      </c>
      <c r="H212" s="62">
        <f t="shared" si="75"/>
        <v>0</v>
      </c>
      <c r="I212" s="62">
        <f>SUM(H$5:H$22)</f>
        <v>0</v>
      </c>
      <c r="J212" s="62" t="e" cm="1">
        <f t="array" ref="J212">K212+L212+MAX(0,-R211)*IFERROR(SUMPRODUCT(IF('2. Investicijos'!$N$5:$N$22&gt;('2. Investicijos'!$H$5:$H$22*'7. Pasirinktinis scenarijus'!$C$6),'2. Investicijos'!$N$5:$N$22-('2. Investicijos'!$H$5:$H$22*'7. Pasirinktinis scenarijus'!$C$6),0),'2. Investicijos'!$O$5:$O$22/100)/SUM(IF('2. Investicijos'!$N$5:$N$22&gt;('2. Investicijos'!$H$5:$H$22*'7. Pasirinktinis scenarijus'!$C$6),'2. Investicijos'!$N$5:$N$22-('2. Investicijos'!$H$5:$H$22*'7. Pasirinktinis scenarijus'!$C$6),0)),0)</f>
        <v>#VALUE!</v>
      </c>
      <c r="K212" s="62">
        <f>SUM(AB$5:AB$22)</f>
        <v>0</v>
      </c>
      <c r="L212" s="62">
        <f>SUM(R$5:R$22)</f>
        <v>0</v>
      </c>
      <c r="M212" s="62">
        <f>SUM(AL$5:AL$22)</f>
        <v>0</v>
      </c>
      <c r="N212" s="62">
        <f>'3. Finansinės prielaidos'!E30+M212</f>
        <v>0</v>
      </c>
      <c r="O212" s="62">
        <f>'3. Finansinės prielaidos'!E31</f>
        <v>0</v>
      </c>
      <c r="P212" s="62">
        <f>'3. Finansinės prielaidos'!E32</f>
        <v>0</v>
      </c>
      <c r="Q212" s="62" t="e">
        <f t="shared" si="76"/>
        <v>#VALUE!</v>
      </c>
      <c r="R212" s="62" t="e">
        <f>R211+('3. Finansinės prielaidos'!E31-'3. Finansinės prielaidos'!D31)+Q212</f>
        <v>#VALUE!</v>
      </c>
      <c r="S212" s="62" t="e" cm="1">
        <f t="array" ref="S212">SUMPRODUCT(--(2028&gt;'2. Investicijos'!$F$5:$F$22),--(2028&lt;='2. Investicijos'!$F$5:$F$22+'2. Investicijos'!$G$5:$G$22),IFERROR(('2. Investicijos'!$M$5:$M$22+IF('2. Investicijos'!$N$5:$N$22&gt;('2. Investicijos'!$H$5:$H$22*'7. Pasirinktinis scenarijus'!$C$6),'2. Investicijos'!$N$5:$N$22-('2. Investicijos'!$H$5:$H$22*'7. Pasirinktinis scenarijus'!$C$6),0)+('2. Investicijos'!$H$5:$H$22*'7. Pasirinktinis scenarijus'!$C$6))/'2. Investicijos'!$G$5:$G$22,0))+SUMPRODUCT(--(2028&gt;'2. Investicijos'!$F$5:$F$22),--(2028&lt;='2. Investicijos'!$F$5:$F$22+'2. Investicijos'!$G$5:$G$22),IFERROR(('2. Investicijos'!$M$5:$M$22+IF('2. Investicijos'!$N$5:$N$22&gt;('2. Investicijos'!$H$5:$H$22*'7. Pasirinktinis scenarijus'!$C$6),'2. Investicijos'!$N$5:$N$22-('2. Investicijos'!$H$5:$H$22*'7. Pasirinktinis scenarijus'!$C$6),0))*(1-((2028-'2. Investicijos'!$F$5:$F$22)-1)/'2. Investicijos'!$G$5:$G$22),0)*'5. 0% scenarijus'!$C$5)</f>
        <v>#VALUE!</v>
      </c>
      <c r="T212" s="62" t="e">
        <f>'3. Finansinės prielaidos'!E29+S212+G212</f>
        <v>#VALUE!</v>
      </c>
      <c r="U212" s="62" t="e">
        <f t="shared" si="77"/>
        <v>#VALUE!</v>
      </c>
      <c r="V212" s="72" t="e">
        <f t="shared" si="78"/>
        <v>#VALUE!</v>
      </c>
      <c r="W212" s="72" t="e">
        <f t="shared" si="79"/>
        <v>#VALUE!</v>
      </c>
      <c r="X212" s="57" t="e">
        <f t="shared" si="80"/>
        <v>#VALUE!</v>
      </c>
      <c r="Y212" s="57" t="e">
        <f t="shared" si="81"/>
        <v>#VALUE!</v>
      </c>
      <c r="Z212" s="57"/>
      <c r="AA212" s="57"/>
      <c r="AB212" s="57"/>
      <c r="AC212" s="57"/>
      <c r="AD212" s="57"/>
      <c r="AE212" s="57"/>
      <c r="AF212" s="57"/>
      <c r="AG212" s="57"/>
      <c r="AH212" s="57"/>
      <c r="AI212" s="57"/>
      <c r="AJ212" s="57"/>
      <c r="AK212" s="57"/>
      <c r="AL212" s="57"/>
      <c r="AM212" s="57"/>
      <c r="AN212" s="57"/>
      <c r="AO212" s="57"/>
      <c r="AP212" s="57"/>
      <c r="AQ212" s="57"/>
      <c r="AR212" s="57"/>
      <c r="AS212" s="57"/>
    </row>
    <row r="213" spans="1:45">
      <c r="A213" s="57">
        <v>18</v>
      </c>
      <c r="B213" s="57">
        <v>2029</v>
      </c>
      <c r="C213" s="62">
        <f>SUM('4. Metinis CAPEX'!I$9:I$26)</f>
        <v>0</v>
      </c>
      <c r="D213" s="62" cm="1">
        <f t="array" ref="D213">SUMPRODUCT('4. Metinis CAPEX'!I$9:I$26,IFERROR('2. Investicijos'!$N$5:$N$22/'2. Investicijos'!$H$5:$H$22,0))</f>
        <v>0</v>
      </c>
      <c r="E213" s="62" cm="1">
        <f t="array" ref="E213">SUMPRODUCT('4. Metinis CAPEX'!I$9:I$26,IFERROR(('2. Investicijos'!$I$5:$I$22+'2. Investicijos'!$J$5:$J$22+'2. Investicijos'!$K$5:$K$22+'2. Investicijos'!$L$5:$L$22)/'2. Investicijos'!$H$5:$H$22,0))</f>
        <v>0</v>
      </c>
      <c r="F213" s="62" cm="1">
        <f t="array" ref="F213">SUM('2. Investicijos'!$H$5:$H$22*'7. Pasirinktinis scenarijus'!$C$6)</f>
        <v>0</v>
      </c>
      <c r="G213" s="62" cm="1">
        <f t="array" ref="G213">IF(AND(2029&gt;=2026,2029&lt;2026+'7. Pasirinktinis scenarijus'!$C$5),SUM('2. Investicijos'!$H$5:$H$22*'7. Pasirinktinis scenarijus'!$C$6)/'7. Pasirinktinis scenarijus'!$C$5,0)</f>
        <v>0</v>
      </c>
      <c r="H213" s="62">
        <f t="shared" si="75"/>
        <v>0</v>
      </c>
      <c r="I213" s="62">
        <f>SUM(I$5:I$22)</f>
        <v>0</v>
      </c>
      <c r="J213" s="62" t="e" cm="1">
        <f t="array" ref="J213">K213+L213+MAX(0,-R212)*IFERROR(SUMPRODUCT(IF('2. Investicijos'!$N$5:$N$22&gt;('2. Investicijos'!$H$5:$H$22*'7. Pasirinktinis scenarijus'!$C$6),'2. Investicijos'!$N$5:$N$22-('2. Investicijos'!$H$5:$H$22*'7. Pasirinktinis scenarijus'!$C$6),0),'2. Investicijos'!$O$5:$O$22/100)/SUM(IF('2. Investicijos'!$N$5:$N$22&gt;('2. Investicijos'!$H$5:$H$22*'7. Pasirinktinis scenarijus'!$C$6),'2. Investicijos'!$N$5:$N$22-('2. Investicijos'!$H$5:$H$22*'7. Pasirinktinis scenarijus'!$C$6),0)),0)</f>
        <v>#VALUE!</v>
      </c>
      <c r="K213" s="62">
        <f>SUM(AC$5:AC$22)</f>
        <v>0</v>
      </c>
      <c r="L213" s="62">
        <f>SUM(S$5:S$22)</f>
        <v>0</v>
      </c>
      <c r="M213" s="62">
        <f>SUM(AM$5:AM$22)</f>
        <v>0</v>
      </c>
      <c r="N213" s="62">
        <f>'3. Finansinės prielaidos'!F30+M213</f>
        <v>0</v>
      </c>
      <c r="O213" s="62">
        <f>'3. Finansinės prielaidos'!F31</f>
        <v>0</v>
      </c>
      <c r="P213" s="62">
        <f>'3. Finansinės prielaidos'!F32</f>
        <v>0</v>
      </c>
      <c r="Q213" s="62" t="e">
        <f t="shared" si="76"/>
        <v>#VALUE!</v>
      </c>
      <c r="R213" s="62" t="e">
        <f>R212+('3. Finansinės prielaidos'!F31-'3. Finansinės prielaidos'!E31)+Q213</f>
        <v>#VALUE!</v>
      </c>
      <c r="S213" s="62" t="e" cm="1">
        <f t="array" ref="S213">SUMPRODUCT(--(2029&gt;'2. Investicijos'!$F$5:$F$22),--(2029&lt;='2. Investicijos'!$F$5:$F$22+'2. Investicijos'!$G$5:$G$22),IFERROR(('2. Investicijos'!$M$5:$M$22+IF('2. Investicijos'!$N$5:$N$22&gt;('2. Investicijos'!$H$5:$H$22*'7. Pasirinktinis scenarijus'!$C$6),'2. Investicijos'!$N$5:$N$22-('2. Investicijos'!$H$5:$H$22*'7. Pasirinktinis scenarijus'!$C$6),0)+('2. Investicijos'!$H$5:$H$22*'7. Pasirinktinis scenarijus'!$C$6))/'2. Investicijos'!$G$5:$G$22,0))+SUMPRODUCT(--(2029&gt;'2. Investicijos'!$F$5:$F$22),--(2029&lt;='2. Investicijos'!$F$5:$F$22+'2. Investicijos'!$G$5:$G$22),IFERROR(('2. Investicijos'!$M$5:$M$22+IF('2. Investicijos'!$N$5:$N$22&gt;('2. Investicijos'!$H$5:$H$22*'7. Pasirinktinis scenarijus'!$C$6),'2. Investicijos'!$N$5:$N$22-('2. Investicijos'!$H$5:$H$22*'7. Pasirinktinis scenarijus'!$C$6),0))*(1-((2029-'2. Investicijos'!$F$5:$F$22)-1)/'2. Investicijos'!$G$5:$G$22),0)*'5. 0% scenarijus'!$C$5)</f>
        <v>#VALUE!</v>
      </c>
      <c r="T213" s="62" t="e">
        <f>'3. Finansinės prielaidos'!F29+S213+G213</f>
        <v>#VALUE!</v>
      </c>
      <c r="U213" s="62" t="e">
        <f t="shared" si="77"/>
        <v>#VALUE!</v>
      </c>
      <c r="V213" s="72" t="e">
        <f t="shared" si="78"/>
        <v>#VALUE!</v>
      </c>
      <c r="W213" s="72" t="e">
        <f t="shared" si="79"/>
        <v>#VALUE!</v>
      </c>
      <c r="X213" s="57" t="e">
        <f t="shared" si="80"/>
        <v>#VALUE!</v>
      </c>
      <c r="Y213" s="57" t="e">
        <f t="shared" si="81"/>
        <v>#VALUE!</v>
      </c>
      <c r="Z213" s="57"/>
      <c r="AA213" s="57"/>
      <c r="AB213" s="57"/>
      <c r="AC213" s="57"/>
      <c r="AD213" s="57"/>
      <c r="AE213" s="57"/>
      <c r="AF213" s="57"/>
      <c r="AG213" s="57"/>
      <c r="AH213" s="57"/>
      <c r="AI213" s="57"/>
      <c r="AJ213" s="57"/>
      <c r="AK213" s="57"/>
      <c r="AL213" s="57"/>
      <c r="AM213" s="57"/>
      <c r="AN213" s="57"/>
      <c r="AO213" s="57"/>
      <c r="AP213" s="57"/>
      <c r="AQ213" s="57"/>
      <c r="AR213" s="57"/>
      <c r="AS213" s="57"/>
    </row>
    <row r="214" spans="1:45">
      <c r="A214" s="57">
        <v>18</v>
      </c>
      <c r="B214" s="57">
        <v>2030</v>
      </c>
      <c r="C214" s="62">
        <f>SUM('4. Metinis CAPEX'!J$9:J$26)</f>
        <v>0</v>
      </c>
      <c r="D214" s="62" cm="1">
        <f t="array" ref="D214">SUMPRODUCT('4. Metinis CAPEX'!J$9:J$26,IFERROR('2. Investicijos'!$N$5:$N$22/'2. Investicijos'!$H$5:$H$22,0))</f>
        <v>0</v>
      </c>
      <c r="E214" s="62" cm="1">
        <f t="array" ref="E214">SUMPRODUCT('4. Metinis CAPEX'!J$9:J$26,IFERROR(('2. Investicijos'!$I$5:$I$22+'2. Investicijos'!$J$5:$J$22+'2. Investicijos'!$K$5:$K$22+'2. Investicijos'!$L$5:$L$22)/'2. Investicijos'!$H$5:$H$22,0))</f>
        <v>0</v>
      </c>
      <c r="F214" s="62" cm="1">
        <f t="array" ref="F214">SUM('2. Investicijos'!$H$5:$H$22*'7. Pasirinktinis scenarijus'!$C$6)</f>
        <v>0</v>
      </c>
      <c r="G214" s="62" cm="1">
        <f t="array" ref="G214">IF(AND(2030&gt;=2026,2030&lt;2026+'7. Pasirinktinis scenarijus'!$C$5),SUM('2. Investicijos'!$H$5:$H$22*'7. Pasirinktinis scenarijus'!$C$6)/'7. Pasirinktinis scenarijus'!$C$5,0)</f>
        <v>0</v>
      </c>
      <c r="H214" s="62">
        <f t="shared" si="75"/>
        <v>0</v>
      </c>
      <c r="I214" s="62">
        <f>SUM(J$5:J$22)</f>
        <v>0</v>
      </c>
      <c r="J214" s="62" t="e" cm="1">
        <f t="array" ref="J214">K214+L214+MAX(0,-R213)*IFERROR(SUMPRODUCT(IF('2. Investicijos'!$N$5:$N$22&gt;('2. Investicijos'!$H$5:$H$22*'7. Pasirinktinis scenarijus'!$C$6),'2. Investicijos'!$N$5:$N$22-('2. Investicijos'!$H$5:$H$22*'7. Pasirinktinis scenarijus'!$C$6),0),'2. Investicijos'!$O$5:$O$22/100)/SUM(IF('2. Investicijos'!$N$5:$N$22&gt;('2. Investicijos'!$H$5:$H$22*'7. Pasirinktinis scenarijus'!$C$6),'2. Investicijos'!$N$5:$N$22-('2. Investicijos'!$H$5:$H$22*'7. Pasirinktinis scenarijus'!$C$6),0)),0)</f>
        <v>#VALUE!</v>
      </c>
      <c r="K214" s="62">
        <f>SUM(AD$5:AD$22)</f>
        <v>0</v>
      </c>
      <c r="L214" s="62">
        <f>SUM(T$5:T$22)</f>
        <v>0</v>
      </c>
      <c r="M214" s="62">
        <f>SUM(AN$5:AN$22)</f>
        <v>0</v>
      </c>
      <c r="N214" s="62">
        <f>'3. Finansinės prielaidos'!G30+M214</f>
        <v>0</v>
      </c>
      <c r="O214" s="62">
        <f>'3. Finansinės prielaidos'!G31</f>
        <v>0</v>
      </c>
      <c r="P214" s="62">
        <f>'3. Finansinės prielaidos'!G32</f>
        <v>0</v>
      </c>
      <c r="Q214" s="62" t="e">
        <f t="shared" si="76"/>
        <v>#VALUE!</v>
      </c>
      <c r="R214" s="62" t="e">
        <f>R213+('3. Finansinės prielaidos'!G31-'3. Finansinės prielaidos'!F31)+Q214</f>
        <v>#VALUE!</v>
      </c>
      <c r="S214" s="62" t="e" cm="1">
        <f t="array" ref="S214">SUMPRODUCT(--(2030&gt;'2. Investicijos'!$F$5:$F$22),--(2030&lt;='2. Investicijos'!$F$5:$F$22+'2. Investicijos'!$G$5:$G$22),IFERROR(('2. Investicijos'!$M$5:$M$22+IF('2. Investicijos'!$N$5:$N$22&gt;('2. Investicijos'!$H$5:$H$22*'7. Pasirinktinis scenarijus'!$C$6),'2. Investicijos'!$N$5:$N$22-('2. Investicijos'!$H$5:$H$22*'7. Pasirinktinis scenarijus'!$C$6),0)+('2. Investicijos'!$H$5:$H$22*'7. Pasirinktinis scenarijus'!$C$6))/'2. Investicijos'!$G$5:$G$22,0))+SUMPRODUCT(--(2030&gt;'2. Investicijos'!$F$5:$F$22),--(2030&lt;='2. Investicijos'!$F$5:$F$22+'2. Investicijos'!$G$5:$G$22),IFERROR(('2. Investicijos'!$M$5:$M$22+IF('2. Investicijos'!$N$5:$N$22&gt;('2. Investicijos'!$H$5:$H$22*'7. Pasirinktinis scenarijus'!$C$6),'2. Investicijos'!$N$5:$N$22-('2. Investicijos'!$H$5:$H$22*'7. Pasirinktinis scenarijus'!$C$6),0))*(1-((2030-'2. Investicijos'!$F$5:$F$22)-1)/'2. Investicijos'!$G$5:$G$22),0)*'5. 0% scenarijus'!$C$5)</f>
        <v>#VALUE!</v>
      </c>
      <c r="T214" s="62" t="e">
        <f>'3. Finansinės prielaidos'!G29+S214+G214</f>
        <v>#VALUE!</v>
      </c>
      <c r="U214" s="62" t="e">
        <f t="shared" si="77"/>
        <v>#VALUE!</v>
      </c>
      <c r="V214" s="72" t="e">
        <f t="shared" si="78"/>
        <v>#VALUE!</v>
      </c>
      <c r="W214" s="72" t="e">
        <f t="shared" si="79"/>
        <v>#VALUE!</v>
      </c>
      <c r="X214" s="57" t="e">
        <f t="shared" si="80"/>
        <v>#VALUE!</v>
      </c>
      <c r="Y214" s="57" t="e">
        <f t="shared" si="81"/>
        <v>#VALUE!</v>
      </c>
      <c r="Z214" s="57"/>
      <c r="AA214" s="57"/>
      <c r="AB214" s="57"/>
      <c r="AC214" s="57"/>
      <c r="AD214" s="57"/>
      <c r="AE214" s="57"/>
      <c r="AF214" s="57"/>
      <c r="AG214" s="57"/>
      <c r="AH214" s="57"/>
      <c r="AI214" s="57"/>
      <c r="AJ214" s="57"/>
      <c r="AK214" s="57"/>
      <c r="AL214" s="57"/>
      <c r="AM214" s="57"/>
      <c r="AN214" s="57"/>
      <c r="AO214" s="57"/>
      <c r="AP214" s="57"/>
      <c r="AQ214" s="57"/>
      <c r="AR214" s="57"/>
      <c r="AS214" s="57"/>
    </row>
    <row r="215" spans="1:45">
      <c r="A215" s="57">
        <v>18</v>
      </c>
      <c r="B215" s="57">
        <v>2031</v>
      </c>
      <c r="C215" s="62">
        <f>SUM('4. Metinis CAPEX'!K$9:K$26)</f>
        <v>0</v>
      </c>
      <c r="D215" s="62" cm="1">
        <f t="array" ref="D215">SUMPRODUCT('4. Metinis CAPEX'!K$9:K$26,IFERROR('2. Investicijos'!$N$5:$N$22/'2. Investicijos'!$H$5:$H$22,0))</f>
        <v>0</v>
      </c>
      <c r="E215" s="62" cm="1">
        <f t="array" ref="E215">SUMPRODUCT('4. Metinis CAPEX'!K$9:K$26,IFERROR(('2. Investicijos'!$I$5:$I$22+'2. Investicijos'!$J$5:$J$22+'2. Investicijos'!$K$5:$K$22+'2. Investicijos'!$L$5:$L$22)/'2. Investicijos'!$H$5:$H$22,0))</f>
        <v>0</v>
      </c>
      <c r="F215" s="62" cm="1">
        <f t="array" ref="F215">SUM('2. Investicijos'!$H$5:$H$22*'7. Pasirinktinis scenarijus'!$C$6)</f>
        <v>0</v>
      </c>
      <c r="G215" s="62" cm="1">
        <f t="array" ref="G215">IF(AND(2031&gt;=2026,2031&lt;2026+'7. Pasirinktinis scenarijus'!$C$5),SUM('2. Investicijos'!$H$5:$H$22*'7. Pasirinktinis scenarijus'!$C$6)/'7. Pasirinktinis scenarijus'!$C$5,0)</f>
        <v>0</v>
      </c>
      <c r="H215" s="62">
        <f t="shared" si="75"/>
        <v>0</v>
      </c>
      <c r="I215" s="62">
        <f>SUM(K$5:K$22)</f>
        <v>0</v>
      </c>
      <c r="J215" s="62" t="e" cm="1">
        <f t="array" ref="J215">K215+L215+MAX(0,-R214)*IFERROR(SUMPRODUCT(IF('2. Investicijos'!$N$5:$N$22&gt;('2. Investicijos'!$H$5:$H$22*'7. Pasirinktinis scenarijus'!$C$6),'2. Investicijos'!$N$5:$N$22-('2. Investicijos'!$H$5:$H$22*'7. Pasirinktinis scenarijus'!$C$6),0),'2. Investicijos'!$O$5:$O$22/100)/SUM(IF('2. Investicijos'!$N$5:$N$22&gt;('2. Investicijos'!$H$5:$H$22*'7. Pasirinktinis scenarijus'!$C$6),'2. Investicijos'!$N$5:$N$22-('2. Investicijos'!$H$5:$H$22*'7. Pasirinktinis scenarijus'!$C$6),0)),0)</f>
        <v>#VALUE!</v>
      </c>
      <c r="K215" s="62">
        <f>SUM(AE$5:AE$22)</f>
        <v>0</v>
      </c>
      <c r="L215" s="62">
        <f>SUM(U$5:U$22)</f>
        <v>0</v>
      </c>
      <c r="M215" s="62">
        <f>SUM(AO$5:AO$22)</f>
        <v>0</v>
      </c>
      <c r="N215" s="62">
        <f>'3. Finansinės prielaidos'!H30+M215</f>
        <v>0</v>
      </c>
      <c r="O215" s="62">
        <f>'3. Finansinės prielaidos'!H31</f>
        <v>0</v>
      </c>
      <c r="P215" s="62">
        <f>'3. Finansinės prielaidos'!H32</f>
        <v>0</v>
      </c>
      <c r="Q215" s="62" t="e">
        <f t="shared" si="76"/>
        <v>#VALUE!</v>
      </c>
      <c r="R215" s="62" t="e">
        <f>R214+('3. Finansinės prielaidos'!H31-'3. Finansinės prielaidos'!G31)+Q215</f>
        <v>#VALUE!</v>
      </c>
      <c r="S215" s="62" t="e" cm="1">
        <f t="array" ref="S215">SUMPRODUCT(--(2031&gt;'2. Investicijos'!$F$5:$F$22),--(2031&lt;='2. Investicijos'!$F$5:$F$22+'2. Investicijos'!$G$5:$G$22),IFERROR(('2. Investicijos'!$M$5:$M$22+IF('2. Investicijos'!$N$5:$N$22&gt;('2. Investicijos'!$H$5:$H$22*'7. Pasirinktinis scenarijus'!$C$6),'2. Investicijos'!$N$5:$N$22-('2. Investicijos'!$H$5:$H$22*'7. Pasirinktinis scenarijus'!$C$6),0)+('2. Investicijos'!$H$5:$H$22*'7. Pasirinktinis scenarijus'!$C$6))/'2. Investicijos'!$G$5:$G$22,0))+SUMPRODUCT(--(2031&gt;'2. Investicijos'!$F$5:$F$22),--(2031&lt;='2. Investicijos'!$F$5:$F$22+'2. Investicijos'!$G$5:$G$22),IFERROR(('2. Investicijos'!$M$5:$M$22+IF('2. Investicijos'!$N$5:$N$22&gt;('2. Investicijos'!$H$5:$H$22*'7. Pasirinktinis scenarijus'!$C$6),'2. Investicijos'!$N$5:$N$22-('2. Investicijos'!$H$5:$H$22*'7. Pasirinktinis scenarijus'!$C$6),0))*(1-((2031-'2. Investicijos'!$F$5:$F$22)-1)/'2. Investicijos'!$G$5:$G$22),0)*'5. 0% scenarijus'!$C$5)</f>
        <v>#VALUE!</v>
      </c>
      <c r="T215" s="62" t="e">
        <f>'3. Finansinės prielaidos'!H29+S215+G215</f>
        <v>#VALUE!</v>
      </c>
      <c r="U215" s="62" t="e">
        <f t="shared" si="77"/>
        <v>#VALUE!</v>
      </c>
      <c r="V215" s="72" t="e">
        <f t="shared" si="78"/>
        <v>#VALUE!</v>
      </c>
      <c r="W215" s="72" t="e">
        <f t="shared" si="79"/>
        <v>#VALUE!</v>
      </c>
      <c r="X215" s="57" t="e">
        <f t="shared" si="80"/>
        <v>#VALUE!</v>
      </c>
      <c r="Y215" s="57" t="e">
        <f t="shared" si="81"/>
        <v>#VALUE!</v>
      </c>
      <c r="Z215" s="57"/>
      <c r="AA215" s="57"/>
      <c r="AB215" s="57"/>
      <c r="AC215" s="57"/>
      <c r="AD215" s="57"/>
      <c r="AE215" s="57"/>
      <c r="AF215" s="57"/>
      <c r="AG215" s="57"/>
      <c r="AH215" s="57"/>
      <c r="AI215" s="57"/>
      <c r="AJ215" s="57"/>
      <c r="AK215" s="57"/>
      <c r="AL215" s="57"/>
      <c r="AM215" s="57"/>
      <c r="AN215" s="57"/>
      <c r="AO215" s="57"/>
      <c r="AP215" s="57"/>
      <c r="AQ215" s="57"/>
      <c r="AR215" s="57"/>
      <c r="AS215" s="57"/>
    </row>
    <row r="216" spans="1:45">
      <c r="A216" s="57">
        <v>18</v>
      </c>
      <c r="B216" s="57">
        <v>2032</v>
      </c>
      <c r="C216" s="62">
        <f>SUM('4. Metinis CAPEX'!L$9:L$26)</f>
        <v>0</v>
      </c>
      <c r="D216" s="62" cm="1">
        <f t="array" ref="D216">SUMPRODUCT('4. Metinis CAPEX'!L$9:L$26,IFERROR('2. Investicijos'!$N$5:$N$22/'2. Investicijos'!$H$5:$H$22,0))</f>
        <v>0</v>
      </c>
      <c r="E216" s="62" cm="1">
        <f t="array" ref="E216">SUMPRODUCT('4. Metinis CAPEX'!L$9:L$26,IFERROR(('2. Investicijos'!$I$5:$I$22+'2. Investicijos'!$J$5:$J$22+'2. Investicijos'!$K$5:$K$22+'2. Investicijos'!$L$5:$L$22)/'2. Investicijos'!$H$5:$H$22,0))</f>
        <v>0</v>
      </c>
      <c r="F216" s="62" cm="1">
        <f t="array" ref="F216">SUM('2. Investicijos'!$H$5:$H$22*'7. Pasirinktinis scenarijus'!$C$6)</f>
        <v>0</v>
      </c>
      <c r="G216" s="62" cm="1">
        <f t="array" ref="G216">IF(AND(2032&gt;=2026,2032&lt;2026+'7. Pasirinktinis scenarijus'!$C$5),SUM('2. Investicijos'!$H$5:$H$22*'7. Pasirinktinis scenarijus'!$C$6)/'7. Pasirinktinis scenarijus'!$C$5,0)</f>
        <v>0</v>
      </c>
      <c r="H216" s="62">
        <f t="shared" si="75"/>
        <v>0</v>
      </c>
      <c r="I216" s="62">
        <f>SUM(L$5:L$22)</f>
        <v>0</v>
      </c>
      <c r="J216" s="62" t="e" cm="1">
        <f t="array" ref="J216">K216+L216+MAX(0,-R215)*IFERROR(SUMPRODUCT(IF('2. Investicijos'!$N$5:$N$22&gt;('2. Investicijos'!$H$5:$H$22*'7. Pasirinktinis scenarijus'!$C$6),'2. Investicijos'!$N$5:$N$22-('2. Investicijos'!$H$5:$H$22*'7. Pasirinktinis scenarijus'!$C$6),0),'2. Investicijos'!$O$5:$O$22/100)/SUM(IF('2. Investicijos'!$N$5:$N$22&gt;('2. Investicijos'!$H$5:$H$22*'7. Pasirinktinis scenarijus'!$C$6),'2. Investicijos'!$N$5:$N$22-('2. Investicijos'!$H$5:$H$22*'7. Pasirinktinis scenarijus'!$C$6),0)),0)</f>
        <v>#VALUE!</v>
      </c>
      <c r="K216" s="62">
        <f>SUM(AF$5:AF$22)</f>
        <v>0</v>
      </c>
      <c r="L216" s="62">
        <f>SUM(V$5:V$22)</f>
        <v>0</v>
      </c>
      <c r="M216" s="62">
        <f>SUM(AP$5:AP$22)</f>
        <v>0</v>
      </c>
      <c r="N216" s="62">
        <f>'3. Finansinės prielaidos'!I30+M216</f>
        <v>0</v>
      </c>
      <c r="O216" s="62">
        <f>'3. Finansinės prielaidos'!I31</f>
        <v>0</v>
      </c>
      <c r="P216" s="62">
        <f>'3. Finansinės prielaidos'!I32</f>
        <v>0</v>
      </c>
      <c r="Q216" s="62" t="e">
        <f t="shared" si="76"/>
        <v>#VALUE!</v>
      </c>
      <c r="R216" s="62" t="e">
        <f>R215+('3. Finansinės prielaidos'!I31-'3. Finansinės prielaidos'!H31)+Q216</f>
        <v>#VALUE!</v>
      </c>
      <c r="S216" s="62" t="e" cm="1">
        <f t="array" ref="S216">SUMPRODUCT(--(2032&gt;'2. Investicijos'!$F$5:$F$22),--(2032&lt;='2. Investicijos'!$F$5:$F$22+'2. Investicijos'!$G$5:$G$22),IFERROR(('2. Investicijos'!$M$5:$M$22+IF('2. Investicijos'!$N$5:$N$22&gt;('2. Investicijos'!$H$5:$H$22*'7. Pasirinktinis scenarijus'!$C$6),'2. Investicijos'!$N$5:$N$22-('2. Investicijos'!$H$5:$H$22*'7. Pasirinktinis scenarijus'!$C$6),0)+('2. Investicijos'!$H$5:$H$22*'7. Pasirinktinis scenarijus'!$C$6))/'2. Investicijos'!$G$5:$G$22,0))+SUMPRODUCT(--(2032&gt;'2. Investicijos'!$F$5:$F$22),--(2032&lt;='2. Investicijos'!$F$5:$F$22+'2. Investicijos'!$G$5:$G$22),IFERROR(('2. Investicijos'!$M$5:$M$22+IF('2. Investicijos'!$N$5:$N$22&gt;('2. Investicijos'!$H$5:$H$22*'7. Pasirinktinis scenarijus'!$C$6),'2. Investicijos'!$N$5:$N$22-('2. Investicijos'!$H$5:$H$22*'7. Pasirinktinis scenarijus'!$C$6),0))*(1-((2032-'2. Investicijos'!$F$5:$F$22)-1)/'2. Investicijos'!$G$5:$G$22),0)*'5. 0% scenarijus'!$C$5)</f>
        <v>#VALUE!</v>
      </c>
      <c r="T216" s="62" t="e">
        <f>'3. Finansinės prielaidos'!I29+S216+G216</f>
        <v>#VALUE!</v>
      </c>
      <c r="U216" s="62" t="e">
        <f t="shared" si="77"/>
        <v>#VALUE!</v>
      </c>
      <c r="V216" s="72" t="e">
        <f t="shared" si="78"/>
        <v>#VALUE!</v>
      </c>
      <c r="W216" s="72" t="e">
        <f t="shared" si="79"/>
        <v>#VALUE!</v>
      </c>
      <c r="X216" s="57" t="e">
        <f t="shared" si="80"/>
        <v>#VALUE!</v>
      </c>
      <c r="Y216" s="57" t="e">
        <f t="shared" si="81"/>
        <v>#VALUE!</v>
      </c>
      <c r="Z216" s="57"/>
      <c r="AA216" s="57"/>
      <c r="AB216" s="57"/>
      <c r="AC216" s="57"/>
      <c r="AD216" s="57"/>
      <c r="AE216" s="57"/>
      <c r="AF216" s="57"/>
      <c r="AG216" s="57"/>
      <c r="AH216" s="57"/>
      <c r="AI216" s="57"/>
      <c r="AJ216" s="57"/>
      <c r="AK216" s="57"/>
      <c r="AL216" s="57"/>
      <c r="AM216" s="57"/>
      <c r="AN216" s="57"/>
      <c r="AO216" s="57"/>
      <c r="AP216" s="57"/>
      <c r="AQ216" s="57"/>
      <c r="AR216" s="57"/>
      <c r="AS216" s="57"/>
    </row>
    <row r="217" spans="1:45">
      <c r="A217" s="57">
        <v>18</v>
      </c>
      <c r="B217" s="57">
        <v>2033</v>
      </c>
      <c r="C217" s="62">
        <f>SUM('4. Metinis CAPEX'!M$9:M$26)</f>
        <v>0</v>
      </c>
      <c r="D217" s="62" cm="1">
        <f t="array" ref="D217">SUMPRODUCT('4. Metinis CAPEX'!M$9:M$26,IFERROR('2. Investicijos'!$N$5:$N$22/'2. Investicijos'!$H$5:$H$22,0))</f>
        <v>0</v>
      </c>
      <c r="E217" s="62" cm="1">
        <f t="array" ref="E217">SUMPRODUCT('4. Metinis CAPEX'!M$9:M$26,IFERROR(('2. Investicijos'!$I$5:$I$22+'2. Investicijos'!$J$5:$J$22+'2. Investicijos'!$K$5:$K$22+'2. Investicijos'!$L$5:$L$22)/'2. Investicijos'!$H$5:$H$22,0))</f>
        <v>0</v>
      </c>
      <c r="F217" s="62" cm="1">
        <f t="array" ref="F217">SUM('2. Investicijos'!$H$5:$H$22*'7. Pasirinktinis scenarijus'!$C$6)</f>
        <v>0</v>
      </c>
      <c r="G217" s="62" cm="1">
        <f t="array" ref="G217">IF(AND(2033&gt;=2026,2033&lt;2026+'7. Pasirinktinis scenarijus'!$C$5),SUM('2. Investicijos'!$H$5:$H$22*'7. Pasirinktinis scenarijus'!$C$6)/'7. Pasirinktinis scenarijus'!$C$5,0)</f>
        <v>0</v>
      </c>
      <c r="H217" s="62">
        <f t="shared" si="75"/>
        <v>0</v>
      </c>
      <c r="I217" s="62">
        <f>SUM(M$5:M$22)</f>
        <v>0</v>
      </c>
      <c r="J217" s="62" t="e" cm="1">
        <f t="array" ref="J217">K217+L217+MAX(0,-R216)*IFERROR(SUMPRODUCT(IF('2. Investicijos'!$N$5:$N$22&gt;('2. Investicijos'!$H$5:$H$22*'7. Pasirinktinis scenarijus'!$C$6),'2. Investicijos'!$N$5:$N$22-('2. Investicijos'!$H$5:$H$22*'7. Pasirinktinis scenarijus'!$C$6),0),'2. Investicijos'!$O$5:$O$22/100)/SUM(IF('2. Investicijos'!$N$5:$N$22&gt;('2. Investicijos'!$H$5:$H$22*'7. Pasirinktinis scenarijus'!$C$6),'2. Investicijos'!$N$5:$N$22-('2. Investicijos'!$H$5:$H$22*'7. Pasirinktinis scenarijus'!$C$6),0)),0)</f>
        <v>#VALUE!</v>
      </c>
      <c r="K217" s="62">
        <f>SUM(AG$5:AG$22)</f>
        <v>0</v>
      </c>
      <c r="L217" s="62">
        <f>SUM(W$5:W$22)</f>
        <v>0</v>
      </c>
      <c r="M217" s="62">
        <f>SUM(AQ$5:AQ$22)</f>
        <v>0</v>
      </c>
      <c r="N217" s="62">
        <f>'3. Finansinės prielaidos'!J30+M217</f>
        <v>0</v>
      </c>
      <c r="O217" s="62">
        <f>'3. Finansinės prielaidos'!J31</f>
        <v>0</v>
      </c>
      <c r="P217" s="62">
        <f>'3. Finansinės prielaidos'!J32</f>
        <v>0</v>
      </c>
      <c r="Q217" s="62" t="e">
        <f t="shared" si="76"/>
        <v>#VALUE!</v>
      </c>
      <c r="R217" s="62" t="e">
        <f>R216+('3. Finansinės prielaidos'!J31-'3. Finansinės prielaidos'!I31)+Q217</f>
        <v>#VALUE!</v>
      </c>
      <c r="S217" s="62" t="e" cm="1">
        <f t="array" ref="S217">SUMPRODUCT(--(2033&gt;'2. Investicijos'!$F$5:$F$22),--(2033&lt;='2. Investicijos'!$F$5:$F$22+'2. Investicijos'!$G$5:$G$22),IFERROR(('2. Investicijos'!$M$5:$M$22+IF('2. Investicijos'!$N$5:$N$22&gt;('2. Investicijos'!$H$5:$H$22*'7. Pasirinktinis scenarijus'!$C$6),'2. Investicijos'!$N$5:$N$22-('2. Investicijos'!$H$5:$H$22*'7. Pasirinktinis scenarijus'!$C$6),0)+('2. Investicijos'!$H$5:$H$22*'7. Pasirinktinis scenarijus'!$C$6))/'2. Investicijos'!$G$5:$G$22,0))+SUMPRODUCT(--(2033&gt;'2. Investicijos'!$F$5:$F$22),--(2033&lt;='2. Investicijos'!$F$5:$F$22+'2. Investicijos'!$G$5:$G$22),IFERROR(('2. Investicijos'!$M$5:$M$22+IF('2. Investicijos'!$N$5:$N$22&gt;('2. Investicijos'!$H$5:$H$22*'7. Pasirinktinis scenarijus'!$C$6),'2. Investicijos'!$N$5:$N$22-('2. Investicijos'!$H$5:$H$22*'7. Pasirinktinis scenarijus'!$C$6),0))*(1-((2033-'2. Investicijos'!$F$5:$F$22)-1)/'2. Investicijos'!$G$5:$G$22),0)*'5. 0% scenarijus'!$C$5)</f>
        <v>#VALUE!</v>
      </c>
      <c r="T217" s="62" t="e">
        <f>'3. Finansinės prielaidos'!J29+S217+G217</f>
        <v>#VALUE!</v>
      </c>
      <c r="U217" s="62" t="e">
        <f t="shared" si="77"/>
        <v>#VALUE!</v>
      </c>
      <c r="V217" s="72" t="e">
        <f t="shared" si="78"/>
        <v>#VALUE!</v>
      </c>
      <c r="W217" s="72" t="e">
        <f t="shared" si="79"/>
        <v>#VALUE!</v>
      </c>
      <c r="X217" s="57" t="e">
        <f t="shared" si="80"/>
        <v>#VALUE!</v>
      </c>
      <c r="Y217" s="57" t="e">
        <f t="shared" si="81"/>
        <v>#VALUE!</v>
      </c>
      <c r="Z217" s="57"/>
      <c r="AA217" s="57"/>
      <c r="AB217" s="57"/>
      <c r="AC217" s="57"/>
      <c r="AD217" s="57"/>
      <c r="AE217" s="57"/>
      <c r="AF217" s="57"/>
      <c r="AG217" s="57"/>
      <c r="AH217" s="57"/>
      <c r="AI217" s="57"/>
      <c r="AJ217" s="57"/>
      <c r="AK217" s="57"/>
      <c r="AL217" s="57"/>
      <c r="AM217" s="57"/>
      <c r="AN217" s="57"/>
      <c r="AO217" s="57"/>
      <c r="AP217" s="57"/>
      <c r="AQ217" s="57"/>
      <c r="AR217" s="57"/>
      <c r="AS217" s="57"/>
    </row>
    <row r="218" spans="1:45">
      <c r="A218" s="57">
        <v>18</v>
      </c>
      <c r="B218" s="57">
        <v>2034</v>
      </c>
      <c r="C218" s="62">
        <f>SUM('4. Metinis CAPEX'!N$9:N$26)</f>
        <v>0</v>
      </c>
      <c r="D218" s="62" cm="1">
        <f t="array" ref="D218">SUMPRODUCT('4. Metinis CAPEX'!N$9:N$26,IFERROR('2. Investicijos'!$N$5:$N$22/'2. Investicijos'!$H$5:$H$22,0))</f>
        <v>0</v>
      </c>
      <c r="E218" s="62" cm="1">
        <f t="array" ref="E218">SUMPRODUCT('4. Metinis CAPEX'!N$9:N$26,IFERROR(('2. Investicijos'!$I$5:$I$22+'2. Investicijos'!$J$5:$J$22+'2. Investicijos'!$K$5:$K$22+'2. Investicijos'!$L$5:$L$22)/'2. Investicijos'!$H$5:$H$22,0))</f>
        <v>0</v>
      </c>
      <c r="F218" s="62" cm="1">
        <f t="array" ref="F218">SUM('2. Investicijos'!$H$5:$H$22*'7. Pasirinktinis scenarijus'!$C$6)</f>
        <v>0</v>
      </c>
      <c r="G218" s="62" cm="1">
        <f t="array" ref="G218">IF(AND(2034&gt;=2026,2034&lt;2026+'7. Pasirinktinis scenarijus'!$C$5),SUM('2. Investicijos'!$H$5:$H$22*'7. Pasirinktinis scenarijus'!$C$6)/'7. Pasirinktinis scenarijus'!$C$5,0)</f>
        <v>0</v>
      </c>
      <c r="H218" s="62">
        <f t="shared" si="75"/>
        <v>0</v>
      </c>
      <c r="I218" s="62">
        <f>SUM(N$5:N$22)</f>
        <v>0</v>
      </c>
      <c r="J218" s="62" t="e" cm="1">
        <f t="array" ref="J218">K218+L218+MAX(0,-R217)*IFERROR(SUMPRODUCT(IF('2. Investicijos'!$N$5:$N$22&gt;('2. Investicijos'!$H$5:$H$22*'7. Pasirinktinis scenarijus'!$C$6),'2. Investicijos'!$N$5:$N$22-('2. Investicijos'!$H$5:$H$22*'7. Pasirinktinis scenarijus'!$C$6),0),'2. Investicijos'!$O$5:$O$22/100)/SUM(IF('2. Investicijos'!$N$5:$N$22&gt;('2. Investicijos'!$H$5:$H$22*'7. Pasirinktinis scenarijus'!$C$6),'2. Investicijos'!$N$5:$N$22-('2. Investicijos'!$H$5:$H$22*'7. Pasirinktinis scenarijus'!$C$6),0)),0)</f>
        <v>#VALUE!</v>
      </c>
      <c r="K218" s="62">
        <f>SUM(AH$5:AH$22)</f>
        <v>0</v>
      </c>
      <c r="L218" s="62">
        <f>SUM(X$5:X$22)</f>
        <v>0</v>
      </c>
      <c r="M218" s="62">
        <f>SUM(AR$5:AR$22)</f>
        <v>0</v>
      </c>
      <c r="N218" s="62">
        <f>'3. Finansinės prielaidos'!K30+M218</f>
        <v>0</v>
      </c>
      <c r="O218" s="62">
        <f>'3. Finansinės prielaidos'!K31</f>
        <v>0</v>
      </c>
      <c r="P218" s="62">
        <f>'3. Finansinės prielaidos'!K32</f>
        <v>0</v>
      </c>
      <c r="Q218" s="62" t="e">
        <f t="shared" si="76"/>
        <v>#VALUE!</v>
      </c>
      <c r="R218" s="62" t="e">
        <f>R217+('3. Finansinės prielaidos'!K31-'3. Finansinės prielaidos'!J31)+Q218</f>
        <v>#VALUE!</v>
      </c>
      <c r="S218" s="62" t="e" cm="1">
        <f t="array" ref="S218">SUMPRODUCT(--(2034&gt;'2. Investicijos'!$F$5:$F$22),--(2034&lt;='2. Investicijos'!$F$5:$F$22+'2. Investicijos'!$G$5:$G$22),IFERROR(('2. Investicijos'!$M$5:$M$22+IF('2. Investicijos'!$N$5:$N$22&gt;('2. Investicijos'!$H$5:$H$22*'7. Pasirinktinis scenarijus'!$C$6),'2. Investicijos'!$N$5:$N$22-('2. Investicijos'!$H$5:$H$22*'7. Pasirinktinis scenarijus'!$C$6),0)+('2. Investicijos'!$H$5:$H$22*'7. Pasirinktinis scenarijus'!$C$6))/'2. Investicijos'!$G$5:$G$22,0))+SUMPRODUCT(--(2034&gt;'2. Investicijos'!$F$5:$F$22),--(2034&lt;='2. Investicijos'!$F$5:$F$22+'2. Investicijos'!$G$5:$G$22),IFERROR(('2. Investicijos'!$M$5:$M$22+IF('2. Investicijos'!$N$5:$N$22&gt;('2. Investicijos'!$H$5:$H$22*'7. Pasirinktinis scenarijus'!$C$6),'2. Investicijos'!$N$5:$N$22-('2. Investicijos'!$H$5:$H$22*'7. Pasirinktinis scenarijus'!$C$6),0))*(1-((2034-'2. Investicijos'!$F$5:$F$22)-1)/'2. Investicijos'!$G$5:$G$22),0)*'5. 0% scenarijus'!$C$5)</f>
        <v>#VALUE!</v>
      </c>
      <c r="T218" s="62" t="e">
        <f>'3. Finansinės prielaidos'!K29+S218+G218</f>
        <v>#VALUE!</v>
      </c>
      <c r="U218" s="62" t="e">
        <f t="shared" si="77"/>
        <v>#VALUE!</v>
      </c>
      <c r="V218" s="72" t="e">
        <f t="shared" si="78"/>
        <v>#VALUE!</v>
      </c>
      <c r="W218" s="72" t="e">
        <f t="shared" si="79"/>
        <v>#VALUE!</v>
      </c>
      <c r="X218" s="57" t="e">
        <f t="shared" si="80"/>
        <v>#VALUE!</v>
      </c>
      <c r="Y218" s="57" t="e">
        <f t="shared" si="81"/>
        <v>#VALUE!</v>
      </c>
      <c r="Z218" s="57"/>
      <c r="AA218" s="57"/>
      <c r="AB218" s="57"/>
      <c r="AC218" s="57"/>
      <c r="AD218" s="57"/>
      <c r="AE218" s="57"/>
      <c r="AF218" s="57"/>
      <c r="AG218" s="57"/>
      <c r="AH218" s="57"/>
      <c r="AI218" s="57"/>
      <c r="AJ218" s="57"/>
      <c r="AK218" s="57"/>
      <c r="AL218" s="57"/>
      <c r="AM218" s="57"/>
      <c r="AN218" s="57"/>
      <c r="AO218" s="57"/>
      <c r="AP218" s="57"/>
      <c r="AQ218" s="57"/>
      <c r="AR218" s="57"/>
      <c r="AS218" s="57"/>
    </row>
    <row r="219" spans="1:45">
      <c r="A219" s="57">
        <v>18</v>
      </c>
      <c r="B219" s="57">
        <v>2035</v>
      </c>
      <c r="C219" s="62">
        <f>SUM('4. Metinis CAPEX'!O$9:O$26)</f>
        <v>0</v>
      </c>
      <c r="D219" s="62" cm="1">
        <f t="array" ref="D219">SUMPRODUCT('4. Metinis CAPEX'!O$9:O$26,IFERROR('2. Investicijos'!$N$5:$N$22/'2. Investicijos'!$H$5:$H$22,0))</f>
        <v>0</v>
      </c>
      <c r="E219" s="62" cm="1">
        <f t="array" ref="E219">SUMPRODUCT('4. Metinis CAPEX'!O$9:O$26,IFERROR(('2. Investicijos'!$I$5:$I$22+'2. Investicijos'!$J$5:$J$22+'2. Investicijos'!$K$5:$K$22+'2. Investicijos'!$L$5:$L$22)/'2. Investicijos'!$H$5:$H$22,0))</f>
        <v>0</v>
      </c>
      <c r="F219" s="62" cm="1">
        <f t="array" ref="F219">SUM('2. Investicijos'!$H$5:$H$22*'7. Pasirinktinis scenarijus'!$C$6)</f>
        <v>0</v>
      </c>
      <c r="G219" s="62" cm="1">
        <f t="array" ref="G219">IF(AND(2035&gt;=2026,2035&lt;2026+'7. Pasirinktinis scenarijus'!$C$5),SUM('2. Investicijos'!$H$5:$H$22*'7. Pasirinktinis scenarijus'!$C$6)/'7. Pasirinktinis scenarijus'!$C$5,0)</f>
        <v>0</v>
      </c>
      <c r="H219" s="62">
        <f t="shared" si="75"/>
        <v>0</v>
      </c>
      <c r="I219" s="62">
        <f>SUM(O$5:O$22)</f>
        <v>0</v>
      </c>
      <c r="J219" s="62" t="e" cm="1">
        <f t="array" ref="J219">K219+L219+MAX(0,-R218)*IFERROR(SUMPRODUCT(IF('2. Investicijos'!$N$5:$N$22&gt;('2. Investicijos'!$H$5:$H$22*'7. Pasirinktinis scenarijus'!$C$6),'2. Investicijos'!$N$5:$N$22-('2. Investicijos'!$H$5:$H$22*'7. Pasirinktinis scenarijus'!$C$6),0),'2. Investicijos'!$O$5:$O$22/100)/SUM(IF('2. Investicijos'!$N$5:$N$22&gt;('2. Investicijos'!$H$5:$H$22*'7. Pasirinktinis scenarijus'!$C$6),'2. Investicijos'!$N$5:$N$22-('2. Investicijos'!$H$5:$H$22*'7. Pasirinktinis scenarijus'!$C$6),0)),0)</f>
        <v>#VALUE!</v>
      </c>
      <c r="K219" s="62">
        <f>SUM(AI$5:AI$22)</f>
        <v>0</v>
      </c>
      <c r="L219" s="62">
        <f>SUM(Y$5:Y$22)</f>
        <v>0</v>
      </c>
      <c r="M219" s="62">
        <f>SUM(AS$5:AS$22)</f>
        <v>0</v>
      </c>
      <c r="N219" s="62">
        <f>'3. Finansinės prielaidos'!L30+M219</f>
        <v>0</v>
      </c>
      <c r="O219" s="62">
        <f>'3. Finansinės prielaidos'!L31</f>
        <v>0</v>
      </c>
      <c r="P219" s="62">
        <f>'3. Finansinės prielaidos'!L32</f>
        <v>0</v>
      </c>
      <c r="Q219" s="62" t="e">
        <f t="shared" si="76"/>
        <v>#VALUE!</v>
      </c>
      <c r="R219" s="62" t="e">
        <f>R218+('3. Finansinės prielaidos'!L31-'3. Finansinės prielaidos'!K31)+Q219</f>
        <v>#VALUE!</v>
      </c>
      <c r="S219" s="62" t="e" cm="1">
        <f t="array" ref="S219">SUMPRODUCT(--(2035&gt;'2. Investicijos'!$F$5:$F$22),--(2035&lt;='2. Investicijos'!$F$5:$F$22+'2. Investicijos'!$G$5:$G$22),IFERROR(('2. Investicijos'!$M$5:$M$22+IF('2. Investicijos'!$N$5:$N$22&gt;('2. Investicijos'!$H$5:$H$22*'7. Pasirinktinis scenarijus'!$C$6),'2. Investicijos'!$N$5:$N$22-('2. Investicijos'!$H$5:$H$22*'7. Pasirinktinis scenarijus'!$C$6),0)+('2. Investicijos'!$H$5:$H$22*'7. Pasirinktinis scenarijus'!$C$6))/'2. Investicijos'!$G$5:$G$22,0))+SUMPRODUCT(--(2035&gt;'2. Investicijos'!$F$5:$F$22),--(2035&lt;='2. Investicijos'!$F$5:$F$22+'2. Investicijos'!$G$5:$G$22),IFERROR(('2. Investicijos'!$M$5:$M$22+IF('2. Investicijos'!$N$5:$N$22&gt;('2. Investicijos'!$H$5:$H$22*'7. Pasirinktinis scenarijus'!$C$6),'2. Investicijos'!$N$5:$N$22-('2. Investicijos'!$H$5:$H$22*'7. Pasirinktinis scenarijus'!$C$6),0))*(1-((2035-'2. Investicijos'!$F$5:$F$22)-1)/'2. Investicijos'!$G$5:$G$22),0)*'5. 0% scenarijus'!$C$5)</f>
        <v>#VALUE!</v>
      </c>
      <c r="T219" s="62" t="e">
        <f>'3. Finansinės prielaidos'!L29+S219+G219</f>
        <v>#VALUE!</v>
      </c>
      <c r="U219" s="62" t="e">
        <f t="shared" si="77"/>
        <v>#VALUE!</v>
      </c>
      <c r="V219" s="72" t="e">
        <f t="shared" si="78"/>
        <v>#VALUE!</v>
      </c>
      <c r="W219" s="72" t="e">
        <f t="shared" si="79"/>
        <v>#VALUE!</v>
      </c>
      <c r="X219" s="57" t="e">
        <f t="shared" si="80"/>
        <v>#VALUE!</v>
      </c>
      <c r="Y219" s="57" t="e">
        <f t="shared" si="81"/>
        <v>#VALUE!</v>
      </c>
      <c r="Z219" s="57"/>
      <c r="AA219" s="57"/>
      <c r="AB219" s="57"/>
      <c r="AC219" s="57"/>
      <c r="AD219" s="57"/>
      <c r="AE219" s="57"/>
      <c r="AF219" s="57"/>
      <c r="AG219" s="57"/>
      <c r="AH219" s="57"/>
      <c r="AI219" s="57"/>
      <c r="AJ219" s="57"/>
      <c r="AK219" s="57"/>
      <c r="AL219" s="57"/>
      <c r="AM219" s="57"/>
      <c r="AN219" s="57"/>
      <c r="AO219" s="57"/>
      <c r="AP219" s="57"/>
      <c r="AQ219" s="57"/>
      <c r="AR219" s="57"/>
      <c r="AS219" s="57"/>
    </row>
    <row r="220" spans="1:45">
      <c r="A220" s="57">
        <v>19</v>
      </c>
      <c r="B220" s="57">
        <v>2026</v>
      </c>
      <c r="C220" s="62">
        <f>SUM('4. Metinis CAPEX'!F$9:F$27)</f>
        <v>0</v>
      </c>
      <c r="D220" s="62" cm="1">
        <f t="array" ref="D220">SUMPRODUCT('4. Metinis CAPEX'!F$9:F$27,IFERROR('2. Investicijos'!$N$5:$N$23/'2. Investicijos'!$H$5:$H$23,0))</f>
        <v>0</v>
      </c>
      <c r="E220" s="62" cm="1">
        <f t="array" ref="E220">SUMPRODUCT('4. Metinis CAPEX'!F$9:F$27,IFERROR(('2. Investicijos'!$I$5:$I$23+'2. Investicijos'!$J$5:$J$23+'2. Investicijos'!$K$5:$K$23+'2. Investicijos'!$L$5:$L$23)/'2. Investicijos'!$H$5:$H$23,0))</f>
        <v>0</v>
      </c>
      <c r="F220" s="62" cm="1">
        <f t="array" ref="F220">SUM('2. Investicijos'!$H$5:$H$23*'7. Pasirinktinis scenarijus'!$C$6)</f>
        <v>0</v>
      </c>
      <c r="G220" s="62" cm="1">
        <f t="array" ref="G220">IF(AND(2026&gt;=2026,2026&lt;2026+'7. Pasirinktinis scenarijus'!$C$5),SUM('2. Investicijos'!$H$5:$H$23*'7. Pasirinktinis scenarijus'!$C$6)/'7. Pasirinktinis scenarijus'!$C$5,0)</f>
        <v>0</v>
      </c>
      <c r="H220" s="62">
        <f t="shared" si="75"/>
        <v>0</v>
      </c>
      <c r="I220" s="62">
        <f>SUM(F$5:F$23)</f>
        <v>0</v>
      </c>
      <c r="J220" s="62">
        <f>0</f>
        <v>0</v>
      </c>
      <c r="K220" s="62">
        <f>SUM(Z$5:Z$23)</f>
        <v>0</v>
      </c>
      <c r="L220" s="62">
        <f>SUM(P$5:P$23)</f>
        <v>0</v>
      </c>
      <c r="M220" s="62">
        <f>SUM(AJ$5:AJ$23)</f>
        <v>0</v>
      </c>
      <c r="N220" s="62">
        <f>'3. Finansinės prielaidos'!C30+M220</f>
        <v>0</v>
      </c>
      <c r="O220" s="62">
        <f>'3. Finansinės prielaidos'!C31</f>
        <v>0</v>
      </c>
      <c r="P220" s="62">
        <f>'3. Finansinės prielaidos'!C32</f>
        <v>0</v>
      </c>
      <c r="Q220" s="62" t="e">
        <f t="shared" si="76"/>
        <v>#VALUE!</v>
      </c>
      <c r="R220" s="62" t="e">
        <f>O220+Q220</f>
        <v>#VALUE!</v>
      </c>
      <c r="S220" s="62" t="e" cm="1">
        <f t="array" ref="S220">SUMPRODUCT(--(2026&gt;'2. Investicijos'!$F$5:$F$23),--(2026&lt;='2. Investicijos'!$F$5:$F$23+'2. Investicijos'!$G$5:$G$23),IFERROR(('2. Investicijos'!$M$5:$M$23+IF('2. Investicijos'!$N$5:$N$23&gt;('2. Investicijos'!$H$5:$H$23*'7. Pasirinktinis scenarijus'!$C$6),'2. Investicijos'!$N$5:$N$23-('2. Investicijos'!$H$5:$H$23*'7. Pasirinktinis scenarijus'!$C$6),0)+('2. Investicijos'!$H$5:$H$23*'7. Pasirinktinis scenarijus'!$C$6))/'2. Investicijos'!$G$5:$G$23,0))+SUMPRODUCT(--(2026&gt;'2. Investicijos'!$F$5:$F$23),--(2026&lt;='2. Investicijos'!$F$5:$F$23+'2. Investicijos'!$G$5:$G$23),IFERROR(('2. Investicijos'!$M$5:$M$23+IF('2. Investicijos'!$N$5:$N$23&gt;('2. Investicijos'!$H$5:$H$23*'7. Pasirinktinis scenarijus'!$C$6),'2. Investicijos'!$N$5:$N$23-('2. Investicijos'!$H$5:$H$23*'7. Pasirinktinis scenarijus'!$C$6),0))*(1-((2026-'2. Investicijos'!$F$5:$F$23)-1)/'2. Investicijos'!$G$5:$G$23),0)*'5. 0% scenarijus'!$C$5)</f>
        <v>#VALUE!</v>
      </c>
      <c r="T220" s="62" t="e">
        <f>'3. Finansinės prielaidos'!C29+S220+G220</f>
        <v>#VALUE!</v>
      </c>
      <c r="U220" s="62" t="e">
        <f t="shared" si="77"/>
        <v>#VALUE!</v>
      </c>
      <c r="V220" s="72" t="e">
        <f t="shared" si="78"/>
        <v>#VALUE!</v>
      </c>
      <c r="W220" s="72" t="e">
        <f t="shared" si="79"/>
        <v>#VALUE!</v>
      </c>
      <c r="X220" s="57" t="e">
        <f t="shared" si="80"/>
        <v>#VALUE!</v>
      </c>
      <c r="Y220" s="57" t="e">
        <f t="shared" si="81"/>
        <v>#VALUE!</v>
      </c>
      <c r="Z220" s="57"/>
      <c r="AA220" s="57"/>
      <c r="AB220" s="57"/>
      <c r="AC220" s="57"/>
      <c r="AD220" s="57"/>
      <c r="AE220" s="57"/>
      <c r="AF220" s="57"/>
      <c r="AG220" s="57"/>
      <c r="AH220" s="57"/>
      <c r="AI220" s="57"/>
      <c r="AJ220" s="57"/>
      <c r="AK220" s="57"/>
      <c r="AL220" s="57"/>
      <c r="AM220" s="57"/>
      <c r="AN220" s="57"/>
      <c r="AO220" s="57"/>
      <c r="AP220" s="57"/>
      <c r="AQ220" s="57"/>
      <c r="AR220" s="57"/>
      <c r="AS220" s="57"/>
    </row>
    <row r="221" spans="1:45">
      <c r="A221" s="57">
        <v>19</v>
      </c>
      <c r="B221" s="57">
        <v>2027</v>
      </c>
      <c r="C221" s="62">
        <f>SUM('4. Metinis CAPEX'!G$9:G$27)</f>
        <v>0</v>
      </c>
      <c r="D221" s="62" cm="1">
        <f t="array" ref="D221">SUMPRODUCT('4. Metinis CAPEX'!G$9:G$27,IFERROR('2. Investicijos'!$N$5:$N$23/'2. Investicijos'!$H$5:$H$23,0))</f>
        <v>0</v>
      </c>
      <c r="E221" s="62" cm="1">
        <f t="array" ref="E221">SUMPRODUCT('4. Metinis CAPEX'!G$9:G$27,IFERROR(('2. Investicijos'!$I$5:$I$23+'2. Investicijos'!$J$5:$J$23+'2. Investicijos'!$K$5:$K$23+'2. Investicijos'!$L$5:$L$23)/'2. Investicijos'!$H$5:$H$23,0))</f>
        <v>0</v>
      </c>
      <c r="F221" s="62" cm="1">
        <f t="array" ref="F221">SUM('2. Investicijos'!$H$5:$H$23*'7. Pasirinktinis scenarijus'!$C$6)</f>
        <v>0</v>
      </c>
      <c r="G221" s="62" cm="1">
        <f t="array" ref="G221">IF(AND(2027&gt;=2026,2027&lt;2026+'7. Pasirinktinis scenarijus'!$C$5),SUM('2. Investicijos'!$H$5:$H$23*'7. Pasirinktinis scenarijus'!$C$6)/'7. Pasirinktinis scenarijus'!$C$5,0)</f>
        <v>0</v>
      </c>
      <c r="H221" s="62">
        <f t="shared" si="75"/>
        <v>0</v>
      </c>
      <c r="I221" s="62">
        <f>SUM(G$5:G$23)</f>
        <v>0</v>
      </c>
      <c r="J221" s="62" t="e" cm="1">
        <f t="array" ref="J221">K221+L221+MAX(0,-R220)*IFERROR(SUMPRODUCT(IF('2. Investicijos'!$N$5:$N$23&gt;('2. Investicijos'!$H$5:$H$23*'7. Pasirinktinis scenarijus'!$C$6),'2. Investicijos'!$N$5:$N$23-('2. Investicijos'!$H$5:$H$23*'7. Pasirinktinis scenarijus'!$C$6),0),'2. Investicijos'!$O$5:$O$23/100)/SUM(IF('2. Investicijos'!$N$5:$N$23&gt;('2. Investicijos'!$H$5:$H$23*'7. Pasirinktinis scenarijus'!$C$6),'2. Investicijos'!$N$5:$N$23-('2. Investicijos'!$H$5:$H$23*'7. Pasirinktinis scenarijus'!$C$6),0)),0)</f>
        <v>#VALUE!</v>
      </c>
      <c r="K221" s="62">
        <f>SUM(AA$5:AA$23)</f>
        <v>0</v>
      </c>
      <c r="L221" s="62">
        <f>SUM(Q$5:Q$23)</f>
        <v>0</v>
      </c>
      <c r="M221" s="62">
        <f>SUM(AK$5:AK$23)</f>
        <v>0</v>
      </c>
      <c r="N221" s="62">
        <f>'3. Finansinės prielaidos'!D30+M221</f>
        <v>0</v>
      </c>
      <c r="O221" s="62">
        <f>'3. Finansinės prielaidos'!D31</f>
        <v>0</v>
      </c>
      <c r="P221" s="62">
        <f>'3. Finansinės prielaidos'!D32</f>
        <v>0</v>
      </c>
      <c r="Q221" s="62" t="e">
        <f t="shared" si="76"/>
        <v>#VALUE!</v>
      </c>
      <c r="R221" s="62" t="e">
        <f>R220+('3. Finansinės prielaidos'!D31-'3. Finansinės prielaidos'!C31)+Q221</f>
        <v>#VALUE!</v>
      </c>
      <c r="S221" s="62" t="e" cm="1">
        <f t="array" ref="S221">SUMPRODUCT(--(2027&gt;'2. Investicijos'!$F$5:$F$23),--(2027&lt;='2. Investicijos'!$F$5:$F$23+'2. Investicijos'!$G$5:$G$23),IFERROR(('2. Investicijos'!$M$5:$M$23+IF('2. Investicijos'!$N$5:$N$23&gt;('2. Investicijos'!$H$5:$H$23*'7. Pasirinktinis scenarijus'!$C$6),'2. Investicijos'!$N$5:$N$23-('2. Investicijos'!$H$5:$H$23*'7. Pasirinktinis scenarijus'!$C$6),0)+('2. Investicijos'!$H$5:$H$23*'7. Pasirinktinis scenarijus'!$C$6))/'2. Investicijos'!$G$5:$G$23,0))+SUMPRODUCT(--(2027&gt;'2. Investicijos'!$F$5:$F$23),--(2027&lt;='2. Investicijos'!$F$5:$F$23+'2. Investicijos'!$G$5:$G$23),IFERROR(('2. Investicijos'!$M$5:$M$23+IF('2. Investicijos'!$N$5:$N$23&gt;('2. Investicijos'!$H$5:$H$23*'7. Pasirinktinis scenarijus'!$C$6),'2. Investicijos'!$N$5:$N$23-('2. Investicijos'!$H$5:$H$23*'7. Pasirinktinis scenarijus'!$C$6),0))*(1-((2027-'2. Investicijos'!$F$5:$F$23)-1)/'2. Investicijos'!$G$5:$G$23),0)*'5. 0% scenarijus'!$C$5)</f>
        <v>#VALUE!</v>
      </c>
      <c r="T221" s="62" t="e">
        <f>'3. Finansinės prielaidos'!D29+S221+G221</f>
        <v>#VALUE!</v>
      </c>
      <c r="U221" s="62" t="e">
        <f t="shared" si="77"/>
        <v>#VALUE!</v>
      </c>
      <c r="V221" s="72" t="e">
        <f t="shared" si="78"/>
        <v>#VALUE!</v>
      </c>
      <c r="W221" s="72" t="e">
        <f t="shared" si="79"/>
        <v>#VALUE!</v>
      </c>
      <c r="X221" s="57" t="e">
        <f t="shared" si="80"/>
        <v>#VALUE!</v>
      </c>
      <c r="Y221" s="57" t="e">
        <f t="shared" si="81"/>
        <v>#VALUE!</v>
      </c>
      <c r="Z221" s="57"/>
      <c r="AA221" s="57"/>
      <c r="AB221" s="57"/>
      <c r="AC221" s="57"/>
      <c r="AD221" s="57"/>
      <c r="AE221" s="57"/>
      <c r="AF221" s="57"/>
      <c r="AG221" s="57"/>
      <c r="AH221" s="57"/>
      <c r="AI221" s="57"/>
      <c r="AJ221" s="57"/>
      <c r="AK221" s="57"/>
      <c r="AL221" s="57"/>
      <c r="AM221" s="57"/>
      <c r="AN221" s="57"/>
      <c r="AO221" s="57"/>
      <c r="AP221" s="57"/>
      <c r="AQ221" s="57"/>
      <c r="AR221" s="57"/>
      <c r="AS221" s="57"/>
    </row>
    <row r="222" spans="1:45">
      <c r="A222" s="57">
        <v>19</v>
      </c>
      <c r="B222" s="57">
        <v>2028</v>
      </c>
      <c r="C222" s="62">
        <f>SUM('4. Metinis CAPEX'!H$9:H$27)</f>
        <v>0</v>
      </c>
      <c r="D222" s="62" cm="1">
        <f t="array" ref="D222">SUMPRODUCT('4. Metinis CAPEX'!H$9:H$27,IFERROR('2. Investicijos'!$N$5:$N$23/'2. Investicijos'!$H$5:$H$23,0))</f>
        <v>0</v>
      </c>
      <c r="E222" s="62" cm="1">
        <f t="array" ref="E222">SUMPRODUCT('4. Metinis CAPEX'!H$9:H$27,IFERROR(('2. Investicijos'!$I$5:$I$23+'2. Investicijos'!$J$5:$J$23+'2. Investicijos'!$K$5:$K$23+'2. Investicijos'!$L$5:$L$23)/'2. Investicijos'!$H$5:$H$23,0))</f>
        <v>0</v>
      </c>
      <c r="F222" s="62" cm="1">
        <f t="array" ref="F222">SUM('2. Investicijos'!$H$5:$H$23*'7. Pasirinktinis scenarijus'!$C$6)</f>
        <v>0</v>
      </c>
      <c r="G222" s="62" cm="1">
        <f t="array" ref="G222">IF(AND(2028&gt;=2026,2028&lt;2026+'7. Pasirinktinis scenarijus'!$C$5),SUM('2. Investicijos'!$H$5:$H$23*'7. Pasirinktinis scenarijus'!$C$6)/'7. Pasirinktinis scenarijus'!$C$5,0)</f>
        <v>0</v>
      </c>
      <c r="H222" s="62">
        <f t="shared" si="75"/>
        <v>0</v>
      </c>
      <c r="I222" s="62">
        <f>SUM(H$5:H$23)</f>
        <v>0</v>
      </c>
      <c r="J222" s="62" t="e" cm="1">
        <f t="array" ref="J222">K222+L222+MAX(0,-R221)*IFERROR(SUMPRODUCT(IF('2. Investicijos'!$N$5:$N$23&gt;('2. Investicijos'!$H$5:$H$23*'7. Pasirinktinis scenarijus'!$C$6),'2. Investicijos'!$N$5:$N$23-('2. Investicijos'!$H$5:$H$23*'7. Pasirinktinis scenarijus'!$C$6),0),'2. Investicijos'!$O$5:$O$23/100)/SUM(IF('2. Investicijos'!$N$5:$N$23&gt;('2. Investicijos'!$H$5:$H$23*'7. Pasirinktinis scenarijus'!$C$6),'2. Investicijos'!$N$5:$N$23-('2. Investicijos'!$H$5:$H$23*'7. Pasirinktinis scenarijus'!$C$6),0)),0)</f>
        <v>#VALUE!</v>
      </c>
      <c r="K222" s="62">
        <f>SUM(AB$5:AB$23)</f>
        <v>0</v>
      </c>
      <c r="L222" s="62">
        <f>SUM(R$5:R$23)</f>
        <v>0</v>
      </c>
      <c r="M222" s="62">
        <f>SUM(AL$5:AL$23)</f>
        <v>0</v>
      </c>
      <c r="N222" s="62">
        <f>'3. Finansinės prielaidos'!E30+M222</f>
        <v>0</v>
      </c>
      <c r="O222" s="62">
        <f>'3. Finansinės prielaidos'!E31</f>
        <v>0</v>
      </c>
      <c r="P222" s="62">
        <f>'3. Finansinės prielaidos'!E32</f>
        <v>0</v>
      </c>
      <c r="Q222" s="62" t="e">
        <f t="shared" si="76"/>
        <v>#VALUE!</v>
      </c>
      <c r="R222" s="62" t="e">
        <f>R221+('3. Finansinės prielaidos'!E31-'3. Finansinės prielaidos'!D31)+Q222</f>
        <v>#VALUE!</v>
      </c>
      <c r="S222" s="62" t="e" cm="1">
        <f t="array" ref="S222">SUMPRODUCT(--(2028&gt;'2. Investicijos'!$F$5:$F$23),--(2028&lt;='2. Investicijos'!$F$5:$F$23+'2. Investicijos'!$G$5:$G$23),IFERROR(('2. Investicijos'!$M$5:$M$23+IF('2. Investicijos'!$N$5:$N$23&gt;('2. Investicijos'!$H$5:$H$23*'7. Pasirinktinis scenarijus'!$C$6),'2. Investicijos'!$N$5:$N$23-('2. Investicijos'!$H$5:$H$23*'7. Pasirinktinis scenarijus'!$C$6),0)+('2. Investicijos'!$H$5:$H$23*'7. Pasirinktinis scenarijus'!$C$6))/'2. Investicijos'!$G$5:$G$23,0))+SUMPRODUCT(--(2028&gt;'2. Investicijos'!$F$5:$F$23),--(2028&lt;='2. Investicijos'!$F$5:$F$23+'2. Investicijos'!$G$5:$G$23),IFERROR(('2. Investicijos'!$M$5:$M$23+IF('2. Investicijos'!$N$5:$N$23&gt;('2. Investicijos'!$H$5:$H$23*'7. Pasirinktinis scenarijus'!$C$6),'2. Investicijos'!$N$5:$N$23-('2. Investicijos'!$H$5:$H$23*'7. Pasirinktinis scenarijus'!$C$6),0))*(1-((2028-'2. Investicijos'!$F$5:$F$23)-1)/'2. Investicijos'!$G$5:$G$23),0)*'5. 0% scenarijus'!$C$5)</f>
        <v>#VALUE!</v>
      </c>
      <c r="T222" s="62" t="e">
        <f>'3. Finansinės prielaidos'!E29+S222+G222</f>
        <v>#VALUE!</v>
      </c>
      <c r="U222" s="62" t="e">
        <f t="shared" si="77"/>
        <v>#VALUE!</v>
      </c>
      <c r="V222" s="72" t="e">
        <f t="shared" si="78"/>
        <v>#VALUE!</v>
      </c>
      <c r="W222" s="72" t="e">
        <f t="shared" si="79"/>
        <v>#VALUE!</v>
      </c>
      <c r="X222" s="57" t="e">
        <f t="shared" si="80"/>
        <v>#VALUE!</v>
      </c>
      <c r="Y222" s="57" t="e">
        <f t="shared" si="81"/>
        <v>#VALUE!</v>
      </c>
      <c r="Z222" s="57"/>
      <c r="AA222" s="57"/>
      <c r="AB222" s="57"/>
      <c r="AC222" s="57"/>
      <c r="AD222" s="57"/>
      <c r="AE222" s="57"/>
      <c r="AF222" s="57"/>
      <c r="AG222" s="57"/>
      <c r="AH222" s="57"/>
      <c r="AI222" s="57"/>
      <c r="AJ222" s="57"/>
      <c r="AK222" s="57"/>
      <c r="AL222" s="57"/>
      <c r="AM222" s="57"/>
      <c r="AN222" s="57"/>
      <c r="AO222" s="57"/>
      <c r="AP222" s="57"/>
      <c r="AQ222" s="57"/>
      <c r="AR222" s="57"/>
      <c r="AS222" s="57"/>
    </row>
    <row r="223" spans="1:45">
      <c r="A223" s="57">
        <v>19</v>
      </c>
      <c r="B223" s="57">
        <v>2029</v>
      </c>
      <c r="C223" s="62">
        <f>SUM('4. Metinis CAPEX'!I$9:I$27)</f>
        <v>0</v>
      </c>
      <c r="D223" s="62" cm="1">
        <f t="array" ref="D223">SUMPRODUCT('4. Metinis CAPEX'!I$9:I$27,IFERROR('2. Investicijos'!$N$5:$N$23/'2. Investicijos'!$H$5:$H$23,0))</f>
        <v>0</v>
      </c>
      <c r="E223" s="62" cm="1">
        <f t="array" ref="E223">SUMPRODUCT('4. Metinis CAPEX'!I$9:I$27,IFERROR(('2. Investicijos'!$I$5:$I$23+'2. Investicijos'!$J$5:$J$23+'2. Investicijos'!$K$5:$K$23+'2. Investicijos'!$L$5:$L$23)/'2. Investicijos'!$H$5:$H$23,0))</f>
        <v>0</v>
      </c>
      <c r="F223" s="62" cm="1">
        <f t="array" ref="F223">SUM('2. Investicijos'!$H$5:$H$23*'7. Pasirinktinis scenarijus'!$C$6)</f>
        <v>0</v>
      </c>
      <c r="G223" s="62" cm="1">
        <f t="array" ref="G223">IF(AND(2029&gt;=2026,2029&lt;2026+'7. Pasirinktinis scenarijus'!$C$5),SUM('2. Investicijos'!$H$5:$H$23*'7. Pasirinktinis scenarijus'!$C$6)/'7. Pasirinktinis scenarijus'!$C$5,0)</f>
        <v>0</v>
      </c>
      <c r="H223" s="62">
        <f t="shared" si="75"/>
        <v>0</v>
      </c>
      <c r="I223" s="62">
        <f>SUM(I$5:I$23)</f>
        <v>0</v>
      </c>
      <c r="J223" s="62" t="e" cm="1">
        <f t="array" ref="J223">K223+L223+MAX(0,-R222)*IFERROR(SUMPRODUCT(IF('2. Investicijos'!$N$5:$N$23&gt;('2. Investicijos'!$H$5:$H$23*'7. Pasirinktinis scenarijus'!$C$6),'2. Investicijos'!$N$5:$N$23-('2. Investicijos'!$H$5:$H$23*'7. Pasirinktinis scenarijus'!$C$6),0),'2. Investicijos'!$O$5:$O$23/100)/SUM(IF('2. Investicijos'!$N$5:$N$23&gt;('2. Investicijos'!$H$5:$H$23*'7. Pasirinktinis scenarijus'!$C$6),'2. Investicijos'!$N$5:$N$23-('2. Investicijos'!$H$5:$H$23*'7. Pasirinktinis scenarijus'!$C$6),0)),0)</f>
        <v>#VALUE!</v>
      </c>
      <c r="K223" s="62">
        <f>SUM(AC$5:AC$23)</f>
        <v>0</v>
      </c>
      <c r="L223" s="62">
        <f>SUM(S$5:S$23)</f>
        <v>0</v>
      </c>
      <c r="M223" s="62">
        <f>SUM(AM$5:AM$23)</f>
        <v>0</v>
      </c>
      <c r="N223" s="62">
        <f>'3. Finansinės prielaidos'!F30+M223</f>
        <v>0</v>
      </c>
      <c r="O223" s="62">
        <f>'3. Finansinės prielaidos'!F31</f>
        <v>0</v>
      </c>
      <c r="P223" s="62">
        <f>'3. Finansinės prielaidos'!F32</f>
        <v>0</v>
      </c>
      <c r="Q223" s="62" t="e">
        <f t="shared" si="76"/>
        <v>#VALUE!</v>
      </c>
      <c r="R223" s="62" t="e">
        <f>R222+('3. Finansinės prielaidos'!F31-'3. Finansinės prielaidos'!E31)+Q223</f>
        <v>#VALUE!</v>
      </c>
      <c r="S223" s="62" t="e" cm="1">
        <f t="array" ref="S223">SUMPRODUCT(--(2029&gt;'2. Investicijos'!$F$5:$F$23),--(2029&lt;='2. Investicijos'!$F$5:$F$23+'2. Investicijos'!$G$5:$G$23),IFERROR(('2. Investicijos'!$M$5:$M$23+IF('2. Investicijos'!$N$5:$N$23&gt;('2. Investicijos'!$H$5:$H$23*'7. Pasirinktinis scenarijus'!$C$6),'2. Investicijos'!$N$5:$N$23-('2. Investicijos'!$H$5:$H$23*'7. Pasirinktinis scenarijus'!$C$6),0)+('2. Investicijos'!$H$5:$H$23*'7. Pasirinktinis scenarijus'!$C$6))/'2. Investicijos'!$G$5:$G$23,0))+SUMPRODUCT(--(2029&gt;'2. Investicijos'!$F$5:$F$23),--(2029&lt;='2. Investicijos'!$F$5:$F$23+'2. Investicijos'!$G$5:$G$23),IFERROR(('2. Investicijos'!$M$5:$M$23+IF('2. Investicijos'!$N$5:$N$23&gt;('2. Investicijos'!$H$5:$H$23*'7. Pasirinktinis scenarijus'!$C$6),'2. Investicijos'!$N$5:$N$23-('2. Investicijos'!$H$5:$H$23*'7. Pasirinktinis scenarijus'!$C$6),0))*(1-((2029-'2. Investicijos'!$F$5:$F$23)-1)/'2. Investicijos'!$G$5:$G$23),0)*'5. 0% scenarijus'!$C$5)</f>
        <v>#VALUE!</v>
      </c>
      <c r="T223" s="62" t="e">
        <f>'3. Finansinės prielaidos'!F29+S223+G223</f>
        <v>#VALUE!</v>
      </c>
      <c r="U223" s="62" t="e">
        <f t="shared" si="77"/>
        <v>#VALUE!</v>
      </c>
      <c r="V223" s="72" t="e">
        <f t="shared" si="78"/>
        <v>#VALUE!</v>
      </c>
      <c r="W223" s="72" t="e">
        <f t="shared" si="79"/>
        <v>#VALUE!</v>
      </c>
      <c r="X223" s="57" t="e">
        <f t="shared" si="80"/>
        <v>#VALUE!</v>
      </c>
      <c r="Y223" s="57" t="e">
        <f t="shared" si="81"/>
        <v>#VALUE!</v>
      </c>
      <c r="Z223" s="57"/>
      <c r="AA223" s="57"/>
      <c r="AB223" s="57"/>
      <c r="AC223" s="57"/>
      <c r="AD223" s="57"/>
      <c r="AE223" s="57"/>
      <c r="AF223" s="57"/>
      <c r="AG223" s="57"/>
      <c r="AH223" s="57"/>
      <c r="AI223" s="57"/>
      <c r="AJ223" s="57"/>
      <c r="AK223" s="57"/>
      <c r="AL223" s="57"/>
      <c r="AM223" s="57"/>
      <c r="AN223" s="57"/>
      <c r="AO223" s="57"/>
      <c r="AP223" s="57"/>
      <c r="AQ223" s="57"/>
      <c r="AR223" s="57"/>
      <c r="AS223" s="57"/>
    </row>
    <row r="224" spans="1:45">
      <c r="A224" s="57">
        <v>19</v>
      </c>
      <c r="B224" s="57">
        <v>2030</v>
      </c>
      <c r="C224" s="62">
        <f>SUM('4. Metinis CAPEX'!J$9:J$27)</f>
        <v>0</v>
      </c>
      <c r="D224" s="62" cm="1">
        <f t="array" ref="D224">SUMPRODUCT('4. Metinis CAPEX'!J$9:J$27,IFERROR('2. Investicijos'!$N$5:$N$23/'2. Investicijos'!$H$5:$H$23,0))</f>
        <v>0</v>
      </c>
      <c r="E224" s="62" cm="1">
        <f t="array" ref="E224">SUMPRODUCT('4. Metinis CAPEX'!J$9:J$27,IFERROR(('2. Investicijos'!$I$5:$I$23+'2. Investicijos'!$J$5:$J$23+'2. Investicijos'!$K$5:$K$23+'2. Investicijos'!$L$5:$L$23)/'2. Investicijos'!$H$5:$H$23,0))</f>
        <v>0</v>
      </c>
      <c r="F224" s="62" cm="1">
        <f t="array" ref="F224">SUM('2. Investicijos'!$H$5:$H$23*'7. Pasirinktinis scenarijus'!$C$6)</f>
        <v>0</v>
      </c>
      <c r="G224" s="62" cm="1">
        <f t="array" ref="G224">IF(AND(2030&gt;=2026,2030&lt;2026+'7. Pasirinktinis scenarijus'!$C$5),SUM('2. Investicijos'!$H$5:$H$23*'7. Pasirinktinis scenarijus'!$C$6)/'7. Pasirinktinis scenarijus'!$C$5,0)</f>
        <v>0</v>
      </c>
      <c r="H224" s="62">
        <f t="shared" si="75"/>
        <v>0</v>
      </c>
      <c r="I224" s="62">
        <f>SUM(J$5:J$23)</f>
        <v>0</v>
      </c>
      <c r="J224" s="62" t="e" cm="1">
        <f t="array" ref="J224">K224+L224+MAX(0,-R223)*IFERROR(SUMPRODUCT(IF('2. Investicijos'!$N$5:$N$23&gt;('2. Investicijos'!$H$5:$H$23*'7. Pasirinktinis scenarijus'!$C$6),'2. Investicijos'!$N$5:$N$23-('2. Investicijos'!$H$5:$H$23*'7. Pasirinktinis scenarijus'!$C$6),0),'2. Investicijos'!$O$5:$O$23/100)/SUM(IF('2. Investicijos'!$N$5:$N$23&gt;('2. Investicijos'!$H$5:$H$23*'7. Pasirinktinis scenarijus'!$C$6),'2. Investicijos'!$N$5:$N$23-('2. Investicijos'!$H$5:$H$23*'7. Pasirinktinis scenarijus'!$C$6),0)),0)</f>
        <v>#VALUE!</v>
      </c>
      <c r="K224" s="62">
        <f>SUM(AD$5:AD$23)</f>
        <v>0</v>
      </c>
      <c r="L224" s="62">
        <f>SUM(T$5:T$23)</f>
        <v>0</v>
      </c>
      <c r="M224" s="62">
        <f>SUM(AN$5:AN$23)</f>
        <v>0</v>
      </c>
      <c r="N224" s="62">
        <f>'3. Finansinės prielaidos'!G30+M224</f>
        <v>0</v>
      </c>
      <c r="O224" s="62">
        <f>'3. Finansinės prielaidos'!G31</f>
        <v>0</v>
      </c>
      <c r="P224" s="62">
        <f>'3. Finansinės prielaidos'!G32</f>
        <v>0</v>
      </c>
      <c r="Q224" s="62" t="e">
        <f t="shared" si="76"/>
        <v>#VALUE!</v>
      </c>
      <c r="R224" s="62" t="e">
        <f>R223+('3. Finansinės prielaidos'!G31-'3. Finansinės prielaidos'!F31)+Q224</f>
        <v>#VALUE!</v>
      </c>
      <c r="S224" s="62" t="e" cm="1">
        <f t="array" ref="S224">SUMPRODUCT(--(2030&gt;'2. Investicijos'!$F$5:$F$23),--(2030&lt;='2. Investicijos'!$F$5:$F$23+'2. Investicijos'!$G$5:$G$23),IFERROR(('2. Investicijos'!$M$5:$M$23+IF('2. Investicijos'!$N$5:$N$23&gt;('2. Investicijos'!$H$5:$H$23*'7. Pasirinktinis scenarijus'!$C$6),'2. Investicijos'!$N$5:$N$23-('2. Investicijos'!$H$5:$H$23*'7. Pasirinktinis scenarijus'!$C$6),0)+('2. Investicijos'!$H$5:$H$23*'7. Pasirinktinis scenarijus'!$C$6))/'2. Investicijos'!$G$5:$G$23,0))+SUMPRODUCT(--(2030&gt;'2. Investicijos'!$F$5:$F$23),--(2030&lt;='2. Investicijos'!$F$5:$F$23+'2. Investicijos'!$G$5:$G$23),IFERROR(('2. Investicijos'!$M$5:$M$23+IF('2. Investicijos'!$N$5:$N$23&gt;('2. Investicijos'!$H$5:$H$23*'7. Pasirinktinis scenarijus'!$C$6),'2. Investicijos'!$N$5:$N$23-('2. Investicijos'!$H$5:$H$23*'7. Pasirinktinis scenarijus'!$C$6),0))*(1-((2030-'2. Investicijos'!$F$5:$F$23)-1)/'2. Investicijos'!$G$5:$G$23),0)*'5. 0% scenarijus'!$C$5)</f>
        <v>#VALUE!</v>
      </c>
      <c r="T224" s="62" t="e">
        <f>'3. Finansinės prielaidos'!G29+S224+G224</f>
        <v>#VALUE!</v>
      </c>
      <c r="U224" s="62" t="e">
        <f t="shared" si="77"/>
        <v>#VALUE!</v>
      </c>
      <c r="V224" s="72" t="e">
        <f t="shared" si="78"/>
        <v>#VALUE!</v>
      </c>
      <c r="W224" s="72" t="e">
        <f t="shared" si="79"/>
        <v>#VALUE!</v>
      </c>
      <c r="X224" s="57" t="e">
        <f t="shared" si="80"/>
        <v>#VALUE!</v>
      </c>
      <c r="Y224" s="57" t="e">
        <f t="shared" si="81"/>
        <v>#VALUE!</v>
      </c>
      <c r="Z224" s="57"/>
      <c r="AA224" s="57"/>
      <c r="AB224" s="57"/>
      <c r="AC224" s="57"/>
      <c r="AD224" s="57"/>
      <c r="AE224" s="57"/>
      <c r="AF224" s="57"/>
      <c r="AG224" s="57"/>
      <c r="AH224" s="57"/>
      <c r="AI224" s="57"/>
      <c r="AJ224" s="57"/>
      <c r="AK224" s="57"/>
      <c r="AL224" s="57"/>
      <c r="AM224" s="57"/>
      <c r="AN224" s="57"/>
      <c r="AO224" s="57"/>
      <c r="AP224" s="57"/>
      <c r="AQ224" s="57"/>
      <c r="AR224" s="57"/>
      <c r="AS224" s="57"/>
    </row>
    <row r="225" spans="1:45">
      <c r="A225" s="57">
        <v>19</v>
      </c>
      <c r="B225" s="57">
        <v>2031</v>
      </c>
      <c r="C225" s="62">
        <f>SUM('4. Metinis CAPEX'!K$9:K$27)</f>
        <v>0</v>
      </c>
      <c r="D225" s="62" cm="1">
        <f t="array" ref="D225">SUMPRODUCT('4. Metinis CAPEX'!K$9:K$27,IFERROR('2. Investicijos'!$N$5:$N$23/'2. Investicijos'!$H$5:$H$23,0))</f>
        <v>0</v>
      </c>
      <c r="E225" s="62" cm="1">
        <f t="array" ref="E225">SUMPRODUCT('4. Metinis CAPEX'!K$9:K$27,IFERROR(('2. Investicijos'!$I$5:$I$23+'2. Investicijos'!$J$5:$J$23+'2. Investicijos'!$K$5:$K$23+'2. Investicijos'!$L$5:$L$23)/'2. Investicijos'!$H$5:$H$23,0))</f>
        <v>0</v>
      </c>
      <c r="F225" s="62" cm="1">
        <f t="array" ref="F225">SUM('2. Investicijos'!$H$5:$H$23*'7. Pasirinktinis scenarijus'!$C$6)</f>
        <v>0</v>
      </c>
      <c r="G225" s="62" cm="1">
        <f t="array" ref="G225">IF(AND(2031&gt;=2026,2031&lt;2026+'7. Pasirinktinis scenarijus'!$C$5),SUM('2. Investicijos'!$H$5:$H$23*'7. Pasirinktinis scenarijus'!$C$6)/'7. Pasirinktinis scenarijus'!$C$5,0)</f>
        <v>0</v>
      </c>
      <c r="H225" s="62">
        <f t="shared" si="75"/>
        <v>0</v>
      </c>
      <c r="I225" s="62">
        <f>SUM(K$5:K$23)</f>
        <v>0</v>
      </c>
      <c r="J225" s="62" t="e" cm="1">
        <f t="array" ref="J225">K225+L225+MAX(0,-R224)*IFERROR(SUMPRODUCT(IF('2. Investicijos'!$N$5:$N$23&gt;('2. Investicijos'!$H$5:$H$23*'7. Pasirinktinis scenarijus'!$C$6),'2. Investicijos'!$N$5:$N$23-('2. Investicijos'!$H$5:$H$23*'7. Pasirinktinis scenarijus'!$C$6),0),'2. Investicijos'!$O$5:$O$23/100)/SUM(IF('2. Investicijos'!$N$5:$N$23&gt;('2. Investicijos'!$H$5:$H$23*'7. Pasirinktinis scenarijus'!$C$6),'2. Investicijos'!$N$5:$N$23-('2. Investicijos'!$H$5:$H$23*'7. Pasirinktinis scenarijus'!$C$6),0)),0)</f>
        <v>#VALUE!</v>
      </c>
      <c r="K225" s="62">
        <f>SUM(AE$5:AE$23)</f>
        <v>0</v>
      </c>
      <c r="L225" s="62">
        <f>SUM(U$5:U$23)</f>
        <v>0</v>
      </c>
      <c r="M225" s="62">
        <f>SUM(AO$5:AO$23)</f>
        <v>0</v>
      </c>
      <c r="N225" s="62">
        <f>'3. Finansinės prielaidos'!H30+M225</f>
        <v>0</v>
      </c>
      <c r="O225" s="62">
        <f>'3. Finansinės prielaidos'!H31</f>
        <v>0</v>
      </c>
      <c r="P225" s="62">
        <f>'3. Finansinės prielaidos'!H32</f>
        <v>0</v>
      </c>
      <c r="Q225" s="62" t="e">
        <f t="shared" si="76"/>
        <v>#VALUE!</v>
      </c>
      <c r="R225" s="62" t="e">
        <f>R224+('3. Finansinės prielaidos'!H31-'3. Finansinės prielaidos'!G31)+Q225</f>
        <v>#VALUE!</v>
      </c>
      <c r="S225" s="62" t="e" cm="1">
        <f t="array" ref="S225">SUMPRODUCT(--(2031&gt;'2. Investicijos'!$F$5:$F$23),--(2031&lt;='2. Investicijos'!$F$5:$F$23+'2. Investicijos'!$G$5:$G$23),IFERROR(('2. Investicijos'!$M$5:$M$23+IF('2. Investicijos'!$N$5:$N$23&gt;('2. Investicijos'!$H$5:$H$23*'7. Pasirinktinis scenarijus'!$C$6),'2. Investicijos'!$N$5:$N$23-('2. Investicijos'!$H$5:$H$23*'7. Pasirinktinis scenarijus'!$C$6),0)+('2. Investicijos'!$H$5:$H$23*'7. Pasirinktinis scenarijus'!$C$6))/'2. Investicijos'!$G$5:$G$23,0))+SUMPRODUCT(--(2031&gt;'2. Investicijos'!$F$5:$F$23),--(2031&lt;='2. Investicijos'!$F$5:$F$23+'2. Investicijos'!$G$5:$G$23),IFERROR(('2. Investicijos'!$M$5:$M$23+IF('2. Investicijos'!$N$5:$N$23&gt;('2. Investicijos'!$H$5:$H$23*'7. Pasirinktinis scenarijus'!$C$6),'2. Investicijos'!$N$5:$N$23-('2. Investicijos'!$H$5:$H$23*'7. Pasirinktinis scenarijus'!$C$6),0))*(1-((2031-'2. Investicijos'!$F$5:$F$23)-1)/'2. Investicijos'!$G$5:$G$23),0)*'5. 0% scenarijus'!$C$5)</f>
        <v>#VALUE!</v>
      </c>
      <c r="T225" s="62" t="e">
        <f>'3. Finansinės prielaidos'!H29+S225+G225</f>
        <v>#VALUE!</v>
      </c>
      <c r="U225" s="62" t="e">
        <f t="shared" si="77"/>
        <v>#VALUE!</v>
      </c>
      <c r="V225" s="72" t="e">
        <f t="shared" si="78"/>
        <v>#VALUE!</v>
      </c>
      <c r="W225" s="72" t="e">
        <f t="shared" si="79"/>
        <v>#VALUE!</v>
      </c>
      <c r="X225" s="57" t="e">
        <f t="shared" si="80"/>
        <v>#VALUE!</v>
      </c>
      <c r="Y225" s="57" t="e">
        <f t="shared" si="81"/>
        <v>#VALUE!</v>
      </c>
      <c r="Z225" s="57"/>
      <c r="AA225" s="57"/>
      <c r="AB225" s="57"/>
      <c r="AC225" s="57"/>
      <c r="AD225" s="57"/>
      <c r="AE225" s="57"/>
      <c r="AF225" s="57"/>
      <c r="AG225" s="57"/>
      <c r="AH225" s="57"/>
      <c r="AI225" s="57"/>
      <c r="AJ225" s="57"/>
      <c r="AK225" s="57"/>
      <c r="AL225" s="57"/>
      <c r="AM225" s="57"/>
      <c r="AN225" s="57"/>
      <c r="AO225" s="57"/>
      <c r="AP225" s="57"/>
      <c r="AQ225" s="57"/>
      <c r="AR225" s="57"/>
      <c r="AS225" s="57"/>
    </row>
    <row r="226" spans="1:45">
      <c r="A226" s="57">
        <v>19</v>
      </c>
      <c r="B226" s="57">
        <v>2032</v>
      </c>
      <c r="C226" s="62">
        <f>SUM('4. Metinis CAPEX'!L$9:L$27)</f>
        <v>0</v>
      </c>
      <c r="D226" s="62" cm="1">
        <f t="array" ref="D226">SUMPRODUCT('4. Metinis CAPEX'!L$9:L$27,IFERROR('2. Investicijos'!$N$5:$N$23/'2. Investicijos'!$H$5:$H$23,0))</f>
        <v>0</v>
      </c>
      <c r="E226" s="62" cm="1">
        <f t="array" ref="E226">SUMPRODUCT('4. Metinis CAPEX'!L$9:L$27,IFERROR(('2. Investicijos'!$I$5:$I$23+'2. Investicijos'!$J$5:$J$23+'2. Investicijos'!$K$5:$K$23+'2. Investicijos'!$L$5:$L$23)/'2. Investicijos'!$H$5:$H$23,0))</f>
        <v>0</v>
      </c>
      <c r="F226" s="62" cm="1">
        <f t="array" ref="F226">SUM('2. Investicijos'!$H$5:$H$23*'7. Pasirinktinis scenarijus'!$C$6)</f>
        <v>0</v>
      </c>
      <c r="G226" s="62" cm="1">
        <f t="array" ref="G226">IF(AND(2032&gt;=2026,2032&lt;2026+'7. Pasirinktinis scenarijus'!$C$5),SUM('2. Investicijos'!$H$5:$H$23*'7. Pasirinktinis scenarijus'!$C$6)/'7. Pasirinktinis scenarijus'!$C$5,0)</f>
        <v>0</v>
      </c>
      <c r="H226" s="62">
        <f t="shared" si="75"/>
        <v>0</v>
      </c>
      <c r="I226" s="62">
        <f>SUM(L$5:L$23)</f>
        <v>0</v>
      </c>
      <c r="J226" s="62" t="e" cm="1">
        <f t="array" ref="J226">K226+L226+MAX(0,-R225)*IFERROR(SUMPRODUCT(IF('2. Investicijos'!$N$5:$N$23&gt;('2. Investicijos'!$H$5:$H$23*'7. Pasirinktinis scenarijus'!$C$6),'2. Investicijos'!$N$5:$N$23-('2. Investicijos'!$H$5:$H$23*'7. Pasirinktinis scenarijus'!$C$6),0),'2. Investicijos'!$O$5:$O$23/100)/SUM(IF('2. Investicijos'!$N$5:$N$23&gt;('2. Investicijos'!$H$5:$H$23*'7. Pasirinktinis scenarijus'!$C$6),'2. Investicijos'!$N$5:$N$23-('2. Investicijos'!$H$5:$H$23*'7. Pasirinktinis scenarijus'!$C$6),0)),0)</f>
        <v>#VALUE!</v>
      </c>
      <c r="K226" s="62">
        <f>SUM(AF$5:AF$23)</f>
        <v>0</v>
      </c>
      <c r="L226" s="62">
        <f>SUM(V$5:V$23)</f>
        <v>0</v>
      </c>
      <c r="M226" s="62">
        <f>SUM(AP$5:AP$23)</f>
        <v>0</v>
      </c>
      <c r="N226" s="62">
        <f>'3. Finansinės prielaidos'!I30+M226</f>
        <v>0</v>
      </c>
      <c r="O226" s="62">
        <f>'3. Finansinės prielaidos'!I31</f>
        <v>0</v>
      </c>
      <c r="P226" s="62">
        <f>'3. Finansinės prielaidos'!I32</f>
        <v>0</v>
      </c>
      <c r="Q226" s="62" t="e">
        <f t="shared" si="76"/>
        <v>#VALUE!</v>
      </c>
      <c r="R226" s="62" t="e">
        <f>R225+('3. Finansinės prielaidos'!I31-'3. Finansinės prielaidos'!H31)+Q226</f>
        <v>#VALUE!</v>
      </c>
      <c r="S226" s="62" t="e" cm="1">
        <f t="array" ref="S226">SUMPRODUCT(--(2032&gt;'2. Investicijos'!$F$5:$F$23),--(2032&lt;='2. Investicijos'!$F$5:$F$23+'2. Investicijos'!$G$5:$G$23),IFERROR(('2. Investicijos'!$M$5:$M$23+IF('2. Investicijos'!$N$5:$N$23&gt;('2. Investicijos'!$H$5:$H$23*'7. Pasirinktinis scenarijus'!$C$6),'2. Investicijos'!$N$5:$N$23-('2. Investicijos'!$H$5:$H$23*'7. Pasirinktinis scenarijus'!$C$6),0)+('2. Investicijos'!$H$5:$H$23*'7. Pasirinktinis scenarijus'!$C$6))/'2. Investicijos'!$G$5:$G$23,0))+SUMPRODUCT(--(2032&gt;'2. Investicijos'!$F$5:$F$23),--(2032&lt;='2. Investicijos'!$F$5:$F$23+'2. Investicijos'!$G$5:$G$23),IFERROR(('2. Investicijos'!$M$5:$M$23+IF('2. Investicijos'!$N$5:$N$23&gt;('2. Investicijos'!$H$5:$H$23*'7. Pasirinktinis scenarijus'!$C$6),'2. Investicijos'!$N$5:$N$23-('2. Investicijos'!$H$5:$H$23*'7. Pasirinktinis scenarijus'!$C$6),0))*(1-((2032-'2. Investicijos'!$F$5:$F$23)-1)/'2. Investicijos'!$G$5:$G$23),0)*'5. 0% scenarijus'!$C$5)</f>
        <v>#VALUE!</v>
      </c>
      <c r="T226" s="62" t="e">
        <f>'3. Finansinės prielaidos'!I29+S226+G226</f>
        <v>#VALUE!</v>
      </c>
      <c r="U226" s="62" t="e">
        <f t="shared" si="77"/>
        <v>#VALUE!</v>
      </c>
      <c r="V226" s="72" t="e">
        <f t="shared" si="78"/>
        <v>#VALUE!</v>
      </c>
      <c r="W226" s="72" t="e">
        <f t="shared" si="79"/>
        <v>#VALUE!</v>
      </c>
      <c r="X226" s="57" t="e">
        <f t="shared" si="80"/>
        <v>#VALUE!</v>
      </c>
      <c r="Y226" s="57" t="e">
        <f t="shared" si="81"/>
        <v>#VALUE!</v>
      </c>
      <c r="Z226" s="57"/>
      <c r="AA226" s="57"/>
      <c r="AB226" s="57"/>
      <c r="AC226" s="57"/>
      <c r="AD226" s="57"/>
      <c r="AE226" s="57"/>
      <c r="AF226" s="57"/>
      <c r="AG226" s="57"/>
      <c r="AH226" s="57"/>
      <c r="AI226" s="57"/>
      <c r="AJ226" s="57"/>
      <c r="AK226" s="57"/>
      <c r="AL226" s="57"/>
      <c r="AM226" s="57"/>
      <c r="AN226" s="57"/>
      <c r="AO226" s="57"/>
      <c r="AP226" s="57"/>
      <c r="AQ226" s="57"/>
      <c r="AR226" s="57"/>
      <c r="AS226" s="57"/>
    </row>
    <row r="227" spans="1:45">
      <c r="A227" s="57">
        <v>19</v>
      </c>
      <c r="B227" s="57">
        <v>2033</v>
      </c>
      <c r="C227" s="62">
        <f>SUM('4. Metinis CAPEX'!M$9:M$27)</f>
        <v>0</v>
      </c>
      <c r="D227" s="62" cm="1">
        <f t="array" ref="D227">SUMPRODUCT('4. Metinis CAPEX'!M$9:M$27,IFERROR('2. Investicijos'!$N$5:$N$23/'2. Investicijos'!$H$5:$H$23,0))</f>
        <v>0</v>
      </c>
      <c r="E227" s="62" cm="1">
        <f t="array" ref="E227">SUMPRODUCT('4. Metinis CAPEX'!M$9:M$27,IFERROR(('2. Investicijos'!$I$5:$I$23+'2. Investicijos'!$J$5:$J$23+'2. Investicijos'!$K$5:$K$23+'2. Investicijos'!$L$5:$L$23)/'2. Investicijos'!$H$5:$H$23,0))</f>
        <v>0</v>
      </c>
      <c r="F227" s="62" cm="1">
        <f t="array" ref="F227">SUM('2. Investicijos'!$H$5:$H$23*'7. Pasirinktinis scenarijus'!$C$6)</f>
        <v>0</v>
      </c>
      <c r="G227" s="62" cm="1">
        <f t="array" ref="G227">IF(AND(2033&gt;=2026,2033&lt;2026+'7. Pasirinktinis scenarijus'!$C$5),SUM('2. Investicijos'!$H$5:$H$23*'7. Pasirinktinis scenarijus'!$C$6)/'7. Pasirinktinis scenarijus'!$C$5,0)</f>
        <v>0</v>
      </c>
      <c r="H227" s="62">
        <f t="shared" si="75"/>
        <v>0</v>
      </c>
      <c r="I227" s="62">
        <f>SUM(M$5:M$23)</f>
        <v>0</v>
      </c>
      <c r="J227" s="62" t="e" cm="1">
        <f t="array" ref="J227">K227+L227+MAX(0,-R226)*IFERROR(SUMPRODUCT(IF('2. Investicijos'!$N$5:$N$23&gt;('2. Investicijos'!$H$5:$H$23*'7. Pasirinktinis scenarijus'!$C$6),'2. Investicijos'!$N$5:$N$23-('2. Investicijos'!$H$5:$H$23*'7. Pasirinktinis scenarijus'!$C$6),0),'2. Investicijos'!$O$5:$O$23/100)/SUM(IF('2. Investicijos'!$N$5:$N$23&gt;('2. Investicijos'!$H$5:$H$23*'7. Pasirinktinis scenarijus'!$C$6),'2. Investicijos'!$N$5:$N$23-('2. Investicijos'!$H$5:$H$23*'7. Pasirinktinis scenarijus'!$C$6),0)),0)</f>
        <v>#VALUE!</v>
      </c>
      <c r="K227" s="62">
        <f>SUM(AG$5:AG$23)</f>
        <v>0</v>
      </c>
      <c r="L227" s="62">
        <f>SUM(W$5:W$23)</f>
        <v>0</v>
      </c>
      <c r="M227" s="62">
        <f>SUM(AQ$5:AQ$23)</f>
        <v>0</v>
      </c>
      <c r="N227" s="62">
        <f>'3. Finansinės prielaidos'!J30+M227</f>
        <v>0</v>
      </c>
      <c r="O227" s="62">
        <f>'3. Finansinės prielaidos'!J31</f>
        <v>0</v>
      </c>
      <c r="P227" s="62">
        <f>'3. Finansinės prielaidos'!J32</f>
        <v>0</v>
      </c>
      <c r="Q227" s="62" t="e">
        <f t="shared" si="76"/>
        <v>#VALUE!</v>
      </c>
      <c r="R227" s="62" t="e">
        <f>R226+('3. Finansinės prielaidos'!J31-'3. Finansinės prielaidos'!I31)+Q227</f>
        <v>#VALUE!</v>
      </c>
      <c r="S227" s="62" t="e" cm="1">
        <f t="array" ref="S227">SUMPRODUCT(--(2033&gt;'2. Investicijos'!$F$5:$F$23),--(2033&lt;='2. Investicijos'!$F$5:$F$23+'2. Investicijos'!$G$5:$G$23),IFERROR(('2. Investicijos'!$M$5:$M$23+IF('2. Investicijos'!$N$5:$N$23&gt;('2. Investicijos'!$H$5:$H$23*'7. Pasirinktinis scenarijus'!$C$6),'2. Investicijos'!$N$5:$N$23-('2. Investicijos'!$H$5:$H$23*'7. Pasirinktinis scenarijus'!$C$6),0)+('2. Investicijos'!$H$5:$H$23*'7. Pasirinktinis scenarijus'!$C$6))/'2. Investicijos'!$G$5:$G$23,0))+SUMPRODUCT(--(2033&gt;'2. Investicijos'!$F$5:$F$23),--(2033&lt;='2. Investicijos'!$F$5:$F$23+'2. Investicijos'!$G$5:$G$23),IFERROR(('2. Investicijos'!$M$5:$M$23+IF('2. Investicijos'!$N$5:$N$23&gt;('2. Investicijos'!$H$5:$H$23*'7. Pasirinktinis scenarijus'!$C$6),'2. Investicijos'!$N$5:$N$23-('2. Investicijos'!$H$5:$H$23*'7. Pasirinktinis scenarijus'!$C$6),0))*(1-((2033-'2. Investicijos'!$F$5:$F$23)-1)/'2. Investicijos'!$G$5:$G$23),0)*'5. 0% scenarijus'!$C$5)</f>
        <v>#VALUE!</v>
      </c>
      <c r="T227" s="62" t="e">
        <f>'3. Finansinės prielaidos'!J29+S227+G227</f>
        <v>#VALUE!</v>
      </c>
      <c r="U227" s="62" t="e">
        <f t="shared" si="77"/>
        <v>#VALUE!</v>
      </c>
      <c r="V227" s="72" t="e">
        <f t="shared" si="78"/>
        <v>#VALUE!</v>
      </c>
      <c r="W227" s="72" t="e">
        <f t="shared" si="79"/>
        <v>#VALUE!</v>
      </c>
      <c r="X227" s="57" t="e">
        <f t="shared" si="80"/>
        <v>#VALUE!</v>
      </c>
      <c r="Y227" s="57" t="e">
        <f t="shared" si="81"/>
        <v>#VALUE!</v>
      </c>
      <c r="Z227" s="57"/>
      <c r="AA227" s="57"/>
      <c r="AB227" s="57"/>
      <c r="AC227" s="57"/>
      <c r="AD227" s="57"/>
      <c r="AE227" s="57"/>
      <c r="AF227" s="57"/>
      <c r="AG227" s="57"/>
      <c r="AH227" s="57"/>
      <c r="AI227" s="57"/>
      <c r="AJ227" s="57"/>
      <c r="AK227" s="57"/>
      <c r="AL227" s="57"/>
      <c r="AM227" s="57"/>
      <c r="AN227" s="57"/>
      <c r="AO227" s="57"/>
      <c r="AP227" s="57"/>
      <c r="AQ227" s="57"/>
      <c r="AR227" s="57"/>
      <c r="AS227" s="57"/>
    </row>
    <row r="228" spans="1:45">
      <c r="A228" s="57">
        <v>19</v>
      </c>
      <c r="B228" s="57">
        <v>2034</v>
      </c>
      <c r="C228" s="62">
        <f>SUM('4. Metinis CAPEX'!N$9:N$27)</f>
        <v>0</v>
      </c>
      <c r="D228" s="62" cm="1">
        <f t="array" ref="D228">SUMPRODUCT('4. Metinis CAPEX'!N$9:N$27,IFERROR('2. Investicijos'!$N$5:$N$23/'2. Investicijos'!$H$5:$H$23,0))</f>
        <v>0</v>
      </c>
      <c r="E228" s="62" cm="1">
        <f t="array" ref="E228">SUMPRODUCT('4. Metinis CAPEX'!N$9:N$27,IFERROR(('2. Investicijos'!$I$5:$I$23+'2. Investicijos'!$J$5:$J$23+'2. Investicijos'!$K$5:$K$23+'2. Investicijos'!$L$5:$L$23)/'2. Investicijos'!$H$5:$H$23,0))</f>
        <v>0</v>
      </c>
      <c r="F228" s="62" cm="1">
        <f t="array" ref="F228">SUM('2. Investicijos'!$H$5:$H$23*'7. Pasirinktinis scenarijus'!$C$6)</f>
        <v>0</v>
      </c>
      <c r="G228" s="62" cm="1">
        <f t="array" ref="G228">IF(AND(2034&gt;=2026,2034&lt;2026+'7. Pasirinktinis scenarijus'!$C$5),SUM('2. Investicijos'!$H$5:$H$23*'7. Pasirinktinis scenarijus'!$C$6)/'7. Pasirinktinis scenarijus'!$C$5,0)</f>
        <v>0</v>
      </c>
      <c r="H228" s="62">
        <f t="shared" si="75"/>
        <v>0</v>
      </c>
      <c r="I228" s="62">
        <f>SUM(N$5:N$23)</f>
        <v>0</v>
      </c>
      <c r="J228" s="62" t="e" cm="1">
        <f t="array" ref="J228">K228+L228+MAX(0,-R227)*IFERROR(SUMPRODUCT(IF('2. Investicijos'!$N$5:$N$23&gt;('2. Investicijos'!$H$5:$H$23*'7. Pasirinktinis scenarijus'!$C$6),'2. Investicijos'!$N$5:$N$23-('2. Investicijos'!$H$5:$H$23*'7. Pasirinktinis scenarijus'!$C$6),0),'2. Investicijos'!$O$5:$O$23/100)/SUM(IF('2. Investicijos'!$N$5:$N$23&gt;('2. Investicijos'!$H$5:$H$23*'7. Pasirinktinis scenarijus'!$C$6),'2. Investicijos'!$N$5:$N$23-('2. Investicijos'!$H$5:$H$23*'7. Pasirinktinis scenarijus'!$C$6),0)),0)</f>
        <v>#VALUE!</v>
      </c>
      <c r="K228" s="62">
        <f>SUM(AH$5:AH$23)</f>
        <v>0</v>
      </c>
      <c r="L228" s="62">
        <f>SUM(X$5:X$23)</f>
        <v>0</v>
      </c>
      <c r="M228" s="62">
        <f>SUM(AR$5:AR$23)</f>
        <v>0</v>
      </c>
      <c r="N228" s="62">
        <f>'3. Finansinės prielaidos'!K30+M228</f>
        <v>0</v>
      </c>
      <c r="O228" s="62">
        <f>'3. Finansinės prielaidos'!K31</f>
        <v>0</v>
      </c>
      <c r="P228" s="62">
        <f>'3. Finansinės prielaidos'!K32</f>
        <v>0</v>
      </c>
      <c r="Q228" s="62" t="e">
        <f t="shared" si="76"/>
        <v>#VALUE!</v>
      </c>
      <c r="R228" s="62" t="e">
        <f>R227+('3. Finansinės prielaidos'!K31-'3. Finansinės prielaidos'!J31)+Q228</f>
        <v>#VALUE!</v>
      </c>
      <c r="S228" s="62" t="e" cm="1">
        <f t="array" ref="S228">SUMPRODUCT(--(2034&gt;'2. Investicijos'!$F$5:$F$23),--(2034&lt;='2. Investicijos'!$F$5:$F$23+'2. Investicijos'!$G$5:$G$23),IFERROR(('2. Investicijos'!$M$5:$M$23+IF('2. Investicijos'!$N$5:$N$23&gt;('2. Investicijos'!$H$5:$H$23*'7. Pasirinktinis scenarijus'!$C$6),'2. Investicijos'!$N$5:$N$23-('2. Investicijos'!$H$5:$H$23*'7. Pasirinktinis scenarijus'!$C$6),0)+('2. Investicijos'!$H$5:$H$23*'7. Pasirinktinis scenarijus'!$C$6))/'2. Investicijos'!$G$5:$G$23,0))+SUMPRODUCT(--(2034&gt;'2. Investicijos'!$F$5:$F$23),--(2034&lt;='2. Investicijos'!$F$5:$F$23+'2. Investicijos'!$G$5:$G$23),IFERROR(('2. Investicijos'!$M$5:$M$23+IF('2. Investicijos'!$N$5:$N$23&gt;('2. Investicijos'!$H$5:$H$23*'7. Pasirinktinis scenarijus'!$C$6),'2. Investicijos'!$N$5:$N$23-('2. Investicijos'!$H$5:$H$23*'7. Pasirinktinis scenarijus'!$C$6),0))*(1-((2034-'2. Investicijos'!$F$5:$F$23)-1)/'2. Investicijos'!$G$5:$G$23),0)*'5. 0% scenarijus'!$C$5)</f>
        <v>#VALUE!</v>
      </c>
      <c r="T228" s="62" t="e">
        <f>'3. Finansinės prielaidos'!K29+S228+G228</f>
        <v>#VALUE!</v>
      </c>
      <c r="U228" s="62" t="e">
        <f t="shared" si="77"/>
        <v>#VALUE!</v>
      </c>
      <c r="V228" s="72" t="e">
        <f t="shared" si="78"/>
        <v>#VALUE!</v>
      </c>
      <c r="W228" s="72" t="e">
        <f t="shared" si="79"/>
        <v>#VALUE!</v>
      </c>
      <c r="X228" s="57" t="e">
        <f t="shared" si="80"/>
        <v>#VALUE!</v>
      </c>
      <c r="Y228" s="57" t="e">
        <f t="shared" si="81"/>
        <v>#VALUE!</v>
      </c>
      <c r="Z228" s="57"/>
      <c r="AA228" s="57"/>
      <c r="AB228" s="57"/>
      <c r="AC228" s="57"/>
      <c r="AD228" s="57"/>
      <c r="AE228" s="57"/>
      <c r="AF228" s="57"/>
      <c r="AG228" s="57"/>
      <c r="AH228" s="57"/>
      <c r="AI228" s="57"/>
      <c r="AJ228" s="57"/>
      <c r="AK228" s="57"/>
      <c r="AL228" s="57"/>
      <c r="AM228" s="57"/>
      <c r="AN228" s="57"/>
      <c r="AO228" s="57"/>
      <c r="AP228" s="57"/>
      <c r="AQ228" s="57"/>
      <c r="AR228" s="57"/>
      <c r="AS228" s="57"/>
    </row>
    <row r="229" spans="1:45">
      <c r="A229" s="57">
        <v>19</v>
      </c>
      <c r="B229" s="57">
        <v>2035</v>
      </c>
      <c r="C229" s="62">
        <f>SUM('4. Metinis CAPEX'!O$9:O$27)</f>
        <v>0</v>
      </c>
      <c r="D229" s="62" cm="1">
        <f t="array" ref="D229">SUMPRODUCT('4. Metinis CAPEX'!O$9:O$27,IFERROR('2. Investicijos'!$N$5:$N$23/'2. Investicijos'!$H$5:$H$23,0))</f>
        <v>0</v>
      </c>
      <c r="E229" s="62" cm="1">
        <f t="array" ref="E229">SUMPRODUCT('4. Metinis CAPEX'!O$9:O$27,IFERROR(('2. Investicijos'!$I$5:$I$23+'2. Investicijos'!$J$5:$J$23+'2. Investicijos'!$K$5:$K$23+'2. Investicijos'!$L$5:$L$23)/'2. Investicijos'!$H$5:$H$23,0))</f>
        <v>0</v>
      </c>
      <c r="F229" s="62" cm="1">
        <f t="array" ref="F229">SUM('2. Investicijos'!$H$5:$H$23*'7. Pasirinktinis scenarijus'!$C$6)</f>
        <v>0</v>
      </c>
      <c r="G229" s="62" cm="1">
        <f t="array" ref="G229">IF(AND(2035&gt;=2026,2035&lt;2026+'7. Pasirinktinis scenarijus'!$C$5),SUM('2. Investicijos'!$H$5:$H$23*'7. Pasirinktinis scenarijus'!$C$6)/'7. Pasirinktinis scenarijus'!$C$5,0)</f>
        <v>0</v>
      </c>
      <c r="H229" s="62">
        <f t="shared" si="75"/>
        <v>0</v>
      </c>
      <c r="I229" s="62">
        <f>SUM(O$5:O$23)</f>
        <v>0</v>
      </c>
      <c r="J229" s="62" t="e" cm="1">
        <f t="array" ref="J229">K229+L229+MAX(0,-R228)*IFERROR(SUMPRODUCT(IF('2. Investicijos'!$N$5:$N$23&gt;('2. Investicijos'!$H$5:$H$23*'7. Pasirinktinis scenarijus'!$C$6),'2. Investicijos'!$N$5:$N$23-('2. Investicijos'!$H$5:$H$23*'7. Pasirinktinis scenarijus'!$C$6),0),'2. Investicijos'!$O$5:$O$23/100)/SUM(IF('2. Investicijos'!$N$5:$N$23&gt;('2. Investicijos'!$H$5:$H$23*'7. Pasirinktinis scenarijus'!$C$6),'2. Investicijos'!$N$5:$N$23-('2. Investicijos'!$H$5:$H$23*'7. Pasirinktinis scenarijus'!$C$6),0)),0)</f>
        <v>#VALUE!</v>
      </c>
      <c r="K229" s="62">
        <f>SUM(AI$5:AI$23)</f>
        <v>0</v>
      </c>
      <c r="L229" s="62">
        <f>SUM(Y$5:Y$23)</f>
        <v>0</v>
      </c>
      <c r="M229" s="62">
        <f>SUM(AS$5:AS$23)</f>
        <v>0</v>
      </c>
      <c r="N229" s="62">
        <f>'3. Finansinės prielaidos'!L30+M229</f>
        <v>0</v>
      </c>
      <c r="O229" s="62">
        <f>'3. Finansinės prielaidos'!L31</f>
        <v>0</v>
      </c>
      <c r="P229" s="62">
        <f>'3. Finansinės prielaidos'!L32</f>
        <v>0</v>
      </c>
      <c r="Q229" s="62" t="e">
        <f t="shared" si="76"/>
        <v>#VALUE!</v>
      </c>
      <c r="R229" s="62" t="e">
        <f>R228+('3. Finansinės prielaidos'!L31-'3. Finansinės prielaidos'!K31)+Q229</f>
        <v>#VALUE!</v>
      </c>
      <c r="S229" s="62" t="e" cm="1">
        <f t="array" ref="S229">SUMPRODUCT(--(2035&gt;'2. Investicijos'!$F$5:$F$23),--(2035&lt;='2. Investicijos'!$F$5:$F$23+'2. Investicijos'!$G$5:$G$23),IFERROR(('2. Investicijos'!$M$5:$M$23+IF('2. Investicijos'!$N$5:$N$23&gt;('2. Investicijos'!$H$5:$H$23*'7. Pasirinktinis scenarijus'!$C$6),'2. Investicijos'!$N$5:$N$23-('2. Investicijos'!$H$5:$H$23*'7. Pasirinktinis scenarijus'!$C$6),0)+('2. Investicijos'!$H$5:$H$23*'7. Pasirinktinis scenarijus'!$C$6))/'2. Investicijos'!$G$5:$G$23,0))+SUMPRODUCT(--(2035&gt;'2. Investicijos'!$F$5:$F$23),--(2035&lt;='2. Investicijos'!$F$5:$F$23+'2. Investicijos'!$G$5:$G$23),IFERROR(('2. Investicijos'!$M$5:$M$23+IF('2. Investicijos'!$N$5:$N$23&gt;('2. Investicijos'!$H$5:$H$23*'7. Pasirinktinis scenarijus'!$C$6),'2. Investicijos'!$N$5:$N$23-('2. Investicijos'!$H$5:$H$23*'7. Pasirinktinis scenarijus'!$C$6),0))*(1-((2035-'2. Investicijos'!$F$5:$F$23)-1)/'2. Investicijos'!$G$5:$G$23),0)*'5. 0% scenarijus'!$C$5)</f>
        <v>#VALUE!</v>
      </c>
      <c r="T229" s="62" t="e">
        <f>'3. Finansinės prielaidos'!L29+S229+G229</f>
        <v>#VALUE!</v>
      </c>
      <c r="U229" s="62" t="e">
        <f t="shared" si="77"/>
        <v>#VALUE!</v>
      </c>
      <c r="V229" s="72" t="e">
        <f t="shared" si="78"/>
        <v>#VALUE!</v>
      </c>
      <c r="W229" s="72" t="e">
        <f t="shared" si="79"/>
        <v>#VALUE!</v>
      </c>
      <c r="X229" s="57" t="e">
        <f t="shared" si="80"/>
        <v>#VALUE!</v>
      </c>
      <c r="Y229" s="57" t="e">
        <f t="shared" si="81"/>
        <v>#VALUE!</v>
      </c>
      <c r="Z229" s="57"/>
      <c r="AA229" s="57"/>
      <c r="AB229" s="57"/>
      <c r="AC229" s="57"/>
      <c r="AD229" s="57"/>
      <c r="AE229" s="57"/>
      <c r="AF229" s="57"/>
      <c r="AG229" s="57"/>
      <c r="AH229" s="57"/>
      <c r="AI229" s="57"/>
      <c r="AJ229" s="57"/>
      <c r="AK229" s="57"/>
      <c r="AL229" s="57"/>
      <c r="AM229" s="57"/>
      <c r="AN229" s="57"/>
      <c r="AO229" s="57"/>
      <c r="AP229" s="57"/>
      <c r="AQ229" s="57"/>
      <c r="AR229" s="57"/>
      <c r="AS229" s="57"/>
    </row>
    <row r="230" spans="1:45">
      <c r="A230" s="57">
        <v>20</v>
      </c>
      <c r="B230" s="57">
        <v>2026</v>
      </c>
      <c r="C230" s="62">
        <f>SUM('4. Metinis CAPEX'!F$9:F$28)</f>
        <v>0</v>
      </c>
      <c r="D230" s="62" cm="1">
        <f t="array" ref="D230">SUMPRODUCT('4. Metinis CAPEX'!F$9:F$28,IFERROR('2. Investicijos'!$N$5:$N$24/'2. Investicijos'!$H$5:$H$24,0))</f>
        <v>0</v>
      </c>
      <c r="E230" s="62" cm="1">
        <f t="array" ref="E230">SUMPRODUCT('4. Metinis CAPEX'!F$9:F$28,IFERROR(('2. Investicijos'!$I$5:$I$24+'2. Investicijos'!$J$5:$J$24+'2. Investicijos'!$K$5:$K$24+'2. Investicijos'!$L$5:$L$24)/'2. Investicijos'!$H$5:$H$24,0))</f>
        <v>0</v>
      </c>
      <c r="F230" s="62" cm="1">
        <f t="array" ref="F230">SUM('2. Investicijos'!$H$5:$H$24*'7. Pasirinktinis scenarijus'!$C$6)</f>
        <v>0</v>
      </c>
      <c r="G230" s="62" cm="1">
        <f t="array" ref="G230">IF(AND(2026&gt;=2026,2026&lt;2026+'7. Pasirinktinis scenarijus'!$C$5),SUM('2. Investicijos'!$H$5:$H$24*'7. Pasirinktinis scenarijus'!$C$6)/'7. Pasirinktinis scenarijus'!$C$5,0)</f>
        <v>0</v>
      </c>
      <c r="H230" s="62">
        <f t="shared" si="75"/>
        <v>0</v>
      </c>
      <c r="I230" s="62">
        <f>SUM(F$5:F$24)</f>
        <v>0</v>
      </c>
      <c r="J230" s="62">
        <f>0</f>
        <v>0</v>
      </c>
      <c r="K230" s="62">
        <f>SUM(Z$5:Z$24)</f>
        <v>0</v>
      </c>
      <c r="L230" s="62">
        <f>SUM(P$5:P$24)</f>
        <v>0</v>
      </c>
      <c r="M230" s="62">
        <f>SUM(AJ$5:AJ$24)</f>
        <v>0</v>
      </c>
      <c r="N230" s="62">
        <f>'3. Finansinės prielaidos'!C30+M230</f>
        <v>0</v>
      </c>
      <c r="O230" s="62">
        <f>'3. Finansinės prielaidos'!C31</f>
        <v>0</v>
      </c>
      <c r="P230" s="62">
        <f>'3. Finansinės prielaidos'!C32</f>
        <v>0</v>
      </c>
      <c r="Q230" s="62" t="e">
        <f t="shared" si="76"/>
        <v>#VALUE!</v>
      </c>
      <c r="R230" s="62" t="e">
        <f>O230+Q230</f>
        <v>#VALUE!</v>
      </c>
      <c r="S230" s="62" t="e" cm="1">
        <f t="array" ref="S230">SUMPRODUCT(--(2026&gt;'2. Investicijos'!$F$5:$F$24),--(2026&lt;='2. Investicijos'!$F$5:$F$24+'2. Investicijos'!$G$5:$G$24),IFERROR(('2. Investicijos'!$M$5:$M$24+IF('2. Investicijos'!$N$5:$N$24&gt;('2. Investicijos'!$H$5:$H$24*'7. Pasirinktinis scenarijus'!$C$6),'2. Investicijos'!$N$5:$N$24-('2. Investicijos'!$H$5:$H$24*'7. Pasirinktinis scenarijus'!$C$6),0)+('2. Investicijos'!$H$5:$H$24*'7. Pasirinktinis scenarijus'!$C$6))/'2. Investicijos'!$G$5:$G$24,0))+SUMPRODUCT(--(2026&gt;'2. Investicijos'!$F$5:$F$24),--(2026&lt;='2. Investicijos'!$F$5:$F$24+'2. Investicijos'!$G$5:$G$24),IFERROR(('2. Investicijos'!$M$5:$M$24+IF('2. Investicijos'!$N$5:$N$24&gt;('2. Investicijos'!$H$5:$H$24*'7. Pasirinktinis scenarijus'!$C$6),'2. Investicijos'!$N$5:$N$24-('2. Investicijos'!$H$5:$H$24*'7. Pasirinktinis scenarijus'!$C$6),0))*(1-((2026-'2. Investicijos'!$F$5:$F$24)-1)/'2. Investicijos'!$G$5:$G$24),0)*'5. 0% scenarijus'!$C$5)</f>
        <v>#VALUE!</v>
      </c>
      <c r="T230" s="62" t="e">
        <f>'3. Finansinės prielaidos'!C29+S230+G230</f>
        <v>#VALUE!</v>
      </c>
      <c r="U230" s="62" t="e">
        <f t="shared" si="77"/>
        <v>#VALUE!</v>
      </c>
      <c r="V230" s="72" t="e">
        <f t="shared" si="78"/>
        <v>#VALUE!</v>
      </c>
      <c r="W230" s="72" t="e">
        <f t="shared" si="79"/>
        <v>#VALUE!</v>
      </c>
      <c r="X230" s="57" t="e">
        <f t="shared" si="80"/>
        <v>#VALUE!</v>
      </c>
      <c r="Y230" s="57" t="e">
        <f t="shared" si="81"/>
        <v>#VALUE!</v>
      </c>
      <c r="Z230" s="57"/>
      <c r="AA230" s="57"/>
      <c r="AB230" s="57"/>
      <c r="AC230" s="57"/>
      <c r="AD230" s="57"/>
      <c r="AE230" s="57"/>
      <c r="AF230" s="57"/>
      <c r="AG230" s="57"/>
      <c r="AH230" s="57"/>
      <c r="AI230" s="57"/>
      <c r="AJ230" s="57"/>
      <c r="AK230" s="57"/>
      <c r="AL230" s="57"/>
      <c r="AM230" s="57"/>
      <c r="AN230" s="57"/>
      <c r="AO230" s="57"/>
      <c r="AP230" s="57"/>
      <c r="AQ230" s="57"/>
      <c r="AR230" s="57"/>
      <c r="AS230" s="57"/>
    </row>
    <row r="231" spans="1:45">
      <c r="A231" s="57">
        <v>20</v>
      </c>
      <c r="B231" s="57">
        <v>2027</v>
      </c>
      <c r="C231" s="62">
        <f>SUM('4. Metinis CAPEX'!G$9:G$28)</f>
        <v>0</v>
      </c>
      <c r="D231" s="62" cm="1">
        <f t="array" ref="D231">SUMPRODUCT('4. Metinis CAPEX'!G$9:G$28,IFERROR('2. Investicijos'!$N$5:$N$24/'2. Investicijos'!$H$5:$H$24,0))</f>
        <v>0</v>
      </c>
      <c r="E231" s="62" cm="1">
        <f t="array" ref="E231">SUMPRODUCT('4. Metinis CAPEX'!G$9:G$28,IFERROR(('2. Investicijos'!$I$5:$I$24+'2. Investicijos'!$J$5:$J$24+'2. Investicijos'!$K$5:$K$24+'2. Investicijos'!$L$5:$L$24)/'2. Investicijos'!$H$5:$H$24,0))</f>
        <v>0</v>
      </c>
      <c r="F231" s="62" cm="1">
        <f t="array" ref="F231">SUM('2. Investicijos'!$H$5:$H$24*'7. Pasirinktinis scenarijus'!$C$6)</f>
        <v>0</v>
      </c>
      <c r="G231" s="62" cm="1">
        <f t="array" ref="G231">IF(AND(2027&gt;=2026,2027&lt;2026+'7. Pasirinktinis scenarijus'!$C$5),SUM('2. Investicijos'!$H$5:$H$24*'7. Pasirinktinis scenarijus'!$C$6)/'7. Pasirinktinis scenarijus'!$C$5,0)</f>
        <v>0</v>
      </c>
      <c r="H231" s="62">
        <f t="shared" si="75"/>
        <v>0</v>
      </c>
      <c r="I231" s="62">
        <f>SUM(G$5:G$24)</f>
        <v>0</v>
      </c>
      <c r="J231" s="62" t="e" cm="1">
        <f t="array" ref="J231">K231+L231+MAX(0,-R230)*IFERROR(SUMPRODUCT(IF('2. Investicijos'!$N$5:$N$24&gt;('2. Investicijos'!$H$5:$H$24*'7. Pasirinktinis scenarijus'!$C$6),'2. Investicijos'!$N$5:$N$24-('2. Investicijos'!$H$5:$H$24*'7. Pasirinktinis scenarijus'!$C$6),0),'2. Investicijos'!$O$5:$O$24/100)/SUM(IF('2. Investicijos'!$N$5:$N$24&gt;('2. Investicijos'!$H$5:$H$24*'7. Pasirinktinis scenarijus'!$C$6),'2. Investicijos'!$N$5:$N$24-('2. Investicijos'!$H$5:$H$24*'7. Pasirinktinis scenarijus'!$C$6),0)),0)</f>
        <v>#VALUE!</v>
      </c>
      <c r="K231" s="62">
        <f>SUM(AA$5:AA$24)</f>
        <v>0</v>
      </c>
      <c r="L231" s="62">
        <f>SUM(Q$5:Q$24)</f>
        <v>0</v>
      </c>
      <c r="M231" s="62">
        <f>SUM(AK$5:AK$24)</f>
        <v>0</v>
      </c>
      <c r="N231" s="62">
        <f>'3. Finansinės prielaidos'!D30+M231</f>
        <v>0</v>
      </c>
      <c r="O231" s="62">
        <f>'3. Finansinės prielaidos'!D31</f>
        <v>0</v>
      </c>
      <c r="P231" s="62">
        <f>'3. Finansinės prielaidos'!D32</f>
        <v>0</v>
      </c>
      <c r="Q231" s="62" t="e">
        <f t="shared" si="76"/>
        <v>#VALUE!</v>
      </c>
      <c r="R231" s="62" t="e">
        <f>R230+('3. Finansinės prielaidos'!D31-'3. Finansinės prielaidos'!C31)+Q231</f>
        <v>#VALUE!</v>
      </c>
      <c r="S231" s="62" t="e" cm="1">
        <f t="array" ref="S231">SUMPRODUCT(--(2027&gt;'2. Investicijos'!$F$5:$F$24),--(2027&lt;='2. Investicijos'!$F$5:$F$24+'2. Investicijos'!$G$5:$G$24),IFERROR(('2. Investicijos'!$M$5:$M$24+IF('2. Investicijos'!$N$5:$N$24&gt;('2. Investicijos'!$H$5:$H$24*'7. Pasirinktinis scenarijus'!$C$6),'2. Investicijos'!$N$5:$N$24-('2. Investicijos'!$H$5:$H$24*'7. Pasirinktinis scenarijus'!$C$6),0)+('2. Investicijos'!$H$5:$H$24*'7. Pasirinktinis scenarijus'!$C$6))/'2. Investicijos'!$G$5:$G$24,0))+SUMPRODUCT(--(2027&gt;'2. Investicijos'!$F$5:$F$24),--(2027&lt;='2. Investicijos'!$F$5:$F$24+'2. Investicijos'!$G$5:$G$24),IFERROR(('2. Investicijos'!$M$5:$M$24+IF('2. Investicijos'!$N$5:$N$24&gt;('2. Investicijos'!$H$5:$H$24*'7. Pasirinktinis scenarijus'!$C$6),'2. Investicijos'!$N$5:$N$24-('2. Investicijos'!$H$5:$H$24*'7. Pasirinktinis scenarijus'!$C$6),0))*(1-((2027-'2. Investicijos'!$F$5:$F$24)-1)/'2. Investicijos'!$G$5:$G$24),0)*'5. 0% scenarijus'!$C$5)</f>
        <v>#VALUE!</v>
      </c>
      <c r="T231" s="62" t="e">
        <f>'3. Finansinės prielaidos'!D29+S231+G231</f>
        <v>#VALUE!</v>
      </c>
      <c r="U231" s="62" t="e">
        <f t="shared" si="77"/>
        <v>#VALUE!</v>
      </c>
      <c r="V231" s="72" t="e">
        <f t="shared" si="78"/>
        <v>#VALUE!</v>
      </c>
      <c r="W231" s="72" t="e">
        <f t="shared" si="79"/>
        <v>#VALUE!</v>
      </c>
      <c r="X231" s="57" t="e">
        <f t="shared" si="80"/>
        <v>#VALUE!</v>
      </c>
      <c r="Y231" s="57" t="e">
        <f t="shared" si="81"/>
        <v>#VALUE!</v>
      </c>
      <c r="Z231" s="57"/>
      <c r="AA231" s="57"/>
      <c r="AB231" s="57"/>
      <c r="AC231" s="57"/>
      <c r="AD231" s="57"/>
      <c r="AE231" s="57"/>
      <c r="AF231" s="57"/>
      <c r="AG231" s="57"/>
      <c r="AH231" s="57"/>
      <c r="AI231" s="57"/>
      <c r="AJ231" s="57"/>
      <c r="AK231" s="57"/>
      <c r="AL231" s="57"/>
      <c r="AM231" s="57"/>
      <c r="AN231" s="57"/>
      <c r="AO231" s="57"/>
      <c r="AP231" s="57"/>
      <c r="AQ231" s="57"/>
      <c r="AR231" s="57"/>
      <c r="AS231" s="57"/>
    </row>
    <row r="232" spans="1:45">
      <c r="A232" s="57">
        <v>20</v>
      </c>
      <c r="B232" s="57">
        <v>2028</v>
      </c>
      <c r="C232" s="62">
        <f>SUM('4. Metinis CAPEX'!H$9:H$28)</f>
        <v>0</v>
      </c>
      <c r="D232" s="62" cm="1">
        <f t="array" ref="D232">SUMPRODUCT('4. Metinis CAPEX'!H$9:H$28,IFERROR('2. Investicijos'!$N$5:$N$24/'2. Investicijos'!$H$5:$H$24,0))</f>
        <v>0</v>
      </c>
      <c r="E232" s="62" cm="1">
        <f t="array" ref="E232">SUMPRODUCT('4. Metinis CAPEX'!H$9:H$28,IFERROR(('2. Investicijos'!$I$5:$I$24+'2. Investicijos'!$J$5:$J$24+'2. Investicijos'!$K$5:$K$24+'2. Investicijos'!$L$5:$L$24)/'2. Investicijos'!$H$5:$H$24,0))</f>
        <v>0</v>
      </c>
      <c r="F232" s="62" cm="1">
        <f t="array" ref="F232">SUM('2. Investicijos'!$H$5:$H$24*'7. Pasirinktinis scenarijus'!$C$6)</f>
        <v>0</v>
      </c>
      <c r="G232" s="62" cm="1">
        <f t="array" ref="G232">IF(AND(2028&gt;=2026,2028&lt;2026+'7. Pasirinktinis scenarijus'!$C$5),SUM('2. Investicijos'!$H$5:$H$24*'7. Pasirinktinis scenarijus'!$C$6)/'7. Pasirinktinis scenarijus'!$C$5,0)</f>
        <v>0</v>
      </c>
      <c r="H232" s="62">
        <f t="shared" ref="H232:H239" si="82">D232-I232</f>
        <v>0</v>
      </c>
      <c r="I232" s="62">
        <f>SUM(H$5:H$24)</f>
        <v>0</v>
      </c>
      <c r="J232" s="62" t="e" cm="1">
        <f t="array" ref="J232">K232+L232+MAX(0,-R231)*IFERROR(SUMPRODUCT(IF('2. Investicijos'!$N$5:$N$24&gt;('2. Investicijos'!$H$5:$H$24*'7. Pasirinktinis scenarijus'!$C$6),'2. Investicijos'!$N$5:$N$24-('2. Investicijos'!$H$5:$H$24*'7. Pasirinktinis scenarijus'!$C$6),0),'2. Investicijos'!$O$5:$O$24/100)/SUM(IF('2. Investicijos'!$N$5:$N$24&gt;('2. Investicijos'!$H$5:$H$24*'7. Pasirinktinis scenarijus'!$C$6),'2. Investicijos'!$N$5:$N$24-('2. Investicijos'!$H$5:$H$24*'7. Pasirinktinis scenarijus'!$C$6),0)),0)</f>
        <v>#VALUE!</v>
      </c>
      <c r="K232" s="62">
        <f>SUM(AB$5:AB$24)</f>
        <v>0</v>
      </c>
      <c r="L232" s="62">
        <f>SUM(R$5:R$24)</f>
        <v>0</v>
      </c>
      <c r="M232" s="62">
        <f>SUM(AL$5:AL$24)</f>
        <v>0</v>
      </c>
      <c r="N232" s="62">
        <f>'3. Finansinės prielaidos'!E30+M232</f>
        <v>0</v>
      </c>
      <c r="O232" s="62">
        <f>'3. Finansinės prielaidos'!E31</f>
        <v>0</v>
      </c>
      <c r="P232" s="62">
        <f>'3. Finansinės prielaidos'!E32</f>
        <v>0</v>
      </c>
      <c r="Q232" s="62" t="e">
        <f t="shared" ref="Q232:Q239" si="83">S232+G232+I232+E232-C232-J232</f>
        <v>#VALUE!</v>
      </c>
      <c r="R232" s="62" t="e">
        <f>R231+('3. Finansinės prielaidos'!E31-'3. Finansinės prielaidos'!D31)+Q232</f>
        <v>#VALUE!</v>
      </c>
      <c r="S232" s="62" t="e" cm="1">
        <f t="array" ref="S232">SUMPRODUCT(--(2028&gt;'2. Investicijos'!$F$5:$F$24),--(2028&lt;='2. Investicijos'!$F$5:$F$24+'2. Investicijos'!$G$5:$G$24),IFERROR(('2. Investicijos'!$M$5:$M$24+IF('2. Investicijos'!$N$5:$N$24&gt;('2. Investicijos'!$H$5:$H$24*'7. Pasirinktinis scenarijus'!$C$6),'2. Investicijos'!$N$5:$N$24-('2. Investicijos'!$H$5:$H$24*'7. Pasirinktinis scenarijus'!$C$6),0)+('2. Investicijos'!$H$5:$H$24*'7. Pasirinktinis scenarijus'!$C$6))/'2. Investicijos'!$G$5:$G$24,0))+SUMPRODUCT(--(2028&gt;'2. Investicijos'!$F$5:$F$24),--(2028&lt;='2. Investicijos'!$F$5:$F$24+'2. Investicijos'!$G$5:$G$24),IFERROR(('2. Investicijos'!$M$5:$M$24+IF('2. Investicijos'!$N$5:$N$24&gt;('2. Investicijos'!$H$5:$H$24*'7. Pasirinktinis scenarijus'!$C$6),'2. Investicijos'!$N$5:$N$24-('2. Investicijos'!$H$5:$H$24*'7. Pasirinktinis scenarijus'!$C$6),0))*(1-((2028-'2. Investicijos'!$F$5:$F$24)-1)/'2. Investicijos'!$G$5:$G$24),0)*'5. 0% scenarijus'!$C$5)</f>
        <v>#VALUE!</v>
      </c>
      <c r="T232" s="62" t="e">
        <f>'3. Finansinės prielaidos'!E29+S232+G232</f>
        <v>#VALUE!</v>
      </c>
      <c r="U232" s="62" t="e">
        <f t="shared" ref="U232:U239" si="84">N232-R232</f>
        <v>#VALUE!</v>
      </c>
      <c r="V232" s="72" t="e">
        <f t="shared" ref="V232:V239" si="85">IF(OR(T232="",T232&lt;=0),"",U232/T232)</f>
        <v>#VALUE!</v>
      </c>
      <c r="W232" s="72" t="e">
        <f t="shared" ref="W232:W239" si="86">IF(T232&lt;=0,"",IF(P232+J232=0,999999,T232/(P232+J232)))</f>
        <v>#VALUE!</v>
      </c>
      <c r="X232" s="57" t="e">
        <f t="shared" ref="X232:X239" si="87">IF(OR(V232="",W232=""),"",IF(AND(V232&lt;=5.5,W232&gt;=1.2),"ATITINKA","NEATITINKA"))</f>
        <v>#VALUE!</v>
      </c>
      <c r="Y232" s="57" t="e">
        <f t="shared" ref="Y232:Y239" si="88">IF(X232&lt;&gt;"NEATITINKA","",IF(T232&lt;=0,"EBITDA ≤ 0",IF(AND(V232&gt;5.5,W232&lt;1.2),"Abu",IF(V232&gt;5.5,"Net Debt / EBITDA","DSCR"))))</f>
        <v>#VALUE!</v>
      </c>
      <c r="Z232" s="57"/>
      <c r="AA232" s="57"/>
      <c r="AB232" s="57"/>
      <c r="AC232" s="57"/>
      <c r="AD232" s="57"/>
      <c r="AE232" s="57"/>
      <c r="AF232" s="57"/>
      <c r="AG232" s="57"/>
      <c r="AH232" s="57"/>
      <c r="AI232" s="57"/>
      <c r="AJ232" s="57"/>
      <c r="AK232" s="57"/>
      <c r="AL232" s="57"/>
      <c r="AM232" s="57"/>
      <c r="AN232" s="57"/>
      <c r="AO232" s="57"/>
      <c r="AP232" s="57"/>
      <c r="AQ232" s="57"/>
      <c r="AR232" s="57"/>
      <c r="AS232" s="57"/>
    </row>
    <row r="233" spans="1:45">
      <c r="A233" s="57">
        <v>20</v>
      </c>
      <c r="B233" s="57">
        <v>2029</v>
      </c>
      <c r="C233" s="62">
        <f>SUM('4. Metinis CAPEX'!I$9:I$28)</f>
        <v>0</v>
      </c>
      <c r="D233" s="62" cm="1">
        <f t="array" ref="D233">SUMPRODUCT('4. Metinis CAPEX'!I$9:I$28,IFERROR('2. Investicijos'!$N$5:$N$24/'2. Investicijos'!$H$5:$H$24,0))</f>
        <v>0</v>
      </c>
      <c r="E233" s="62" cm="1">
        <f t="array" ref="E233">SUMPRODUCT('4. Metinis CAPEX'!I$9:I$28,IFERROR(('2. Investicijos'!$I$5:$I$24+'2. Investicijos'!$J$5:$J$24+'2. Investicijos'!$K$5:$K$24+'2. Investicijos'!$L$5:$L$24)/'2. Investicijos'!$H$5:$H$24,0))</f>
        <v>0</v>
      </c>
      <c r="F233" s="62" cm="1">
        <f t="array" ref="F233">SUM('2. Investicijos'!$H$5:$H$24*'7. Pasirinktinis scenarijus'!$C$6)</f>
        <v>0</v>
      </c>
      <c r="G233" s="62" cm="1">
        <f t="array" ref="G233">IF(AND(2029&gt;=2026,2029&lt;2026+'7. Pasirinktinis scenarijus'!$C$5),SUM('2. Investicijos'!$H$5:$H$24*'7. Pasirinktinis scenarijus'!$C$6)/'7. Pasirinktinis scenarijus'!$C$5,0)</f>
        <v>0</v>
      </c>
      <c r="H233" s="62">
        <f t="shared" si="82"/>
        <v>0</v>
      </c>
      <c r="I233" s="62">
        <f>SUM(I$5:I$24)</f>
        <v>0</v>
      </c>
      <c r="J233" s="62" t="e" cm="1">
        <f t="array" ref="J233">K233+L233+MAX(0,-R232)*IFERROR(SUMPRODUCT(IF('2. Investicijos'!$N$5:$N$24&gt;('2. Investicijos'!$H$5:$H$24*'7. Pasirinktinis scenarijus'!$C$6),'2. Investicijos'!$N$5:$N$24-('2. Investicijos'!$H$5:$H$24*'7. Pasirinktinis scenarijus'!$C$6),0),'2. Investicijos'!$O$5:$O$24/100)/SUM(IF('2. Investicijos'!$N$5:$N$24&gt;('2. Investicijos'!$H$5:$H$24*'7. Pasirinktinis scenarijus'!$C$6),'2. Investicijos'!$N$5:$N$24-('2. Investicijos'!$H$5:$H$24*'7. Pasirinktinis scenarijus'!$C$6),0)),0)</f>
        <v>#VALUE!</v>
      </c>
      <c r="K233" s="62">
        <f>SUM(AC$5:AC$24)</f>
        <v>0</v>
      </c>
      <c r="L233" s="62">
        <f>SUM(S$5:S$24)</f>
        <v>0</v>
      </c>
      <c r="M233" s="62">
        <f>SUM(AM$5:AM$24)</f>
        <v>0</v>
      </c>
      <c r="N233" s="62">
        <f>'3. Finansinės prielaidos'!F30+M233</f>
        <v>0</v>
      </c>
      <c r="O233" s="62">
        <f>'3. Finansinės prielaidos'!F31</f>
        <v>0</v>
      </c>
      <c r="P233" s="62">
        <f>'3. Finansinės prielaidos'!F32</f>
        <v>0</v>
      </c>
      <c r="Q233" s="62" t="e">
        <f t="shared" si="83"/>
        <v>#VALUE!</v>
      </c>
      <c r="R233" s="62" t="e">
        <f>R232+('3. Finansinės prielaidos'!F31-'3. Finansinės prielaidos'!E31)+Q233</f>
        <v>#VALUE!</v>
      </c>
      <c r="S233" s="62" t="e" cm="1">
        <f t="array" ref="S233">SUMPRODUCT(--(2029&gt;'2. Investicijos'!$F$5:$F$24),--(2029&lt;='2. Investicijos'!$F$5:$F$24+'2. Investicijos'!$G$5:$G$24),IFERROR(('2. Investicijos'!$M$5:$M$24+IF('2. Investicijos'!$N$5:$N$24&gt;('2. Investicijos'!$H$5:$H$24*'7. Pasirinktinis scenarijus'!$C$6),'2. Investicijos'!$N$5:$N$24-('2. Investicijos'!$H$5:$H$24*'7. Pasirinktinis scenarijus'!$C$6),0)+('2. Investicijos'!$H$5:$H$24*'7. Pasirinktinis scenarijus'!$C$6))/'2. Investicijos'!$G$5:$G$24,0))+SUMPRODUCT(--(2029&gt;'2. Investicijos'!$F$5:$F$24),--(2029&lt;='2. Investicijos'!$F$5:$F$24+'2. Investicijos'!$G$5:$G$24),IFERROR(('2. Investicijos'!$M$5:$M$24+IF('2. Investicijos'!$N$5:$N$24&gt;('2. Investicijos'!$H$5:$H$24*'7. Pasirinktinis scenarijus'!$C$6),'2. Investicijos'!$N$5:$N$24-('2. Investicijos'!$H$5:$H$24*'7. Pasirinktinis scenarijus'!$C$6),0))*(1-((2029-'2. Investicijos'!$F$5:$F$24)-1)/'2. Investicijos'!$G$5:$G$24),0)*'5. 0% scenarijus'!$C$5)</f>
        <v>#VALUE!</v>
      </c>
      <c r="T233" s="62" t="e">
        <f>'3. Finansinės prielaidos'!F29+S233+G233</f>
        <v>#VALUE!</v>
      </c>
      <c r="U233" s="62" t="e">
        <f t="shared" si="84"/>
        <v>#VALUE!</v>
      </c>
      <c r="V233" s="72" t="e">
        <f t="shared" si="85"/>
        <v>#VALUE!</v>
      </c>
      <c r="W233" s="72" t="e">
        <f t="shared" si="86"/>
        <v>#VALUE!</v>
      </c>
      <c r="X233" s="57" t="e">
        <f t="shared" si="87"/>
        <v>#VALUE!</v>
      </c>
      <c r="Y233" s="57" t="e">
        <f t="shared" si="88"/>
        <v>#VALUE!</v>
      </c>
      <c r="Z233" s="57"/>
      <c r="AA233" s="57"/>
      <c r="AB233" s="57"/>
      <c r="AC233" s="57"/>
      <c r="AD233" s="57"/>
      <c r="AE233" s="57"/>
      <c r="AF233" s="57"/>
      <c r="AG233" s="57"/>
      <c r="AH233" s="57"/>
      <c r="AI233" s="57"/>
      <c r="AJ233" s="57"/>
      <c r="AK233" s="57"/>
      <c r="AL233" s="57"/>
      <c r="AM233" s="57"/>
      <c r="AN233" s="57"/>
      <c r="AO233" s="57"/>
      <c r="AP233" s="57"/>
      <c r="AQ233" s="57"/>
      <c r="AR233" s="57"/>
      <c r="AS233" s="57"/>
    </row>
    <row r="234" spans="1:45">
      <c r="A234" s="57">
        <v>20</v>
      </c>
      <c r="B234" s="57">
        <v>2030</v>
      </c>
      <c r="C234" s="62">
        <f>SUM('4. Metinis CAPEX'!J$9:J$28)</f>
        <v>0</v>
      </c>
      <c r="D234" s="62" cm="1">
        <f t="array" ref="D234">SUMPRODUCT('4. Metinis CAPEX'!J$9:J$28,IFERROR('2. Investicijos'!$N$5:$N$24/'2. Investicijos'!$H$5:$H$24,0))</f>
        <v>0</v>
      </c>
      <c r="E234" s="62" cm="1">
        <f t="array" ref="E234">SUMPRODUCT('4. Metinis CAPEX'!J$9:J$28,IFERROR(('2. Investicijos'!$I$5:$I$24+'2. Investicijos'!$J$5:$J$24+'2. Investicijos'!$K$5:$K$24+'2. Investicijos'!$L$5:$L$24)/'2. Investicijos'!$H$5:$H$24,0))</f>
        <v>0</v>
      </c>
      <c r="F234" s="62" cm="1">
        <f t="array" ref="F234">SUM('2. Investicijos'!$H$5:$H$24*'7. Pasirinktinis scenarijus'!$C$6)</f>
        <v>0</v>
      </c>
      <c r="G234" s="62" cm="1">
        <f t="array" ref="G234">IF(AND(2030&gt;=2026,2030&lt;2026+'7. Pasirinktinis scenarijus'!$C$5),SUM('2. Investicijos'!$H$5:$H$24*'7. Pasirinktinis scenarijus'!$C$6)/'7. Pasirinktinis scenarijus'!$C$5,0)</f>
        <v>0</v>
      </c>
      <c r="H234" s="62">
        <f t="shared" si="82"/>
        <v>0</v>
      </c>
      <c r="I234" s="62">
        <f>SUM(J$5:J$24)</f>
        <v>0</v>
      </c>
      <c r="J234" s="62" t="e" cm="1">
        <f t="array" ref="J234">K234+L234+MAX(0,-R233)*IFERROR(SUMPRODUCT(IF('2. Investicijos'!$N$5:$N$24&gt;('2. Investicijos'!$H$5:$H$24*'7. Pasirinktinis scenarijus'!$C$6),'2. Investicijos'!$N$5:$N$24-('2. Investicijos'!$H$5:$H$24*'7. Pasirinktinis scenarijus'!$C$6),0),'2. Investicijos'!$O$5:$O$24/100)/SUM(IF('2. Investicijos'!$N$5:$N$24&gt;('2. Investicijos'!$H$5:$H$24*'7. Pasirinktinis scenarijus'!$C$6),'2. Investicijos'!$N$5:$N$24-('2. Investicijos'!$H$5:$H$24*'7. Pasirinktinis scenarijus'!$C$6),0)),0)</f>
        <v>#VALUE!</v>
      </c>
      <c r="K234" s="62">
        <f>SUM(AD$5:AD$24)</f>
        <v>0</v>
      </c>
      <c r="L234" s="62">
        <f>SUM(T$5:T$24)</f>
        <v>0</v>
      </c>
      <c r="M234" s="62">
        <f>SUM(AN$5:AN$24)</f>
        <v>0</v>
      </c>
      <c r="N234" s="62">
        <f>'3. Finansinės prielaidos'!G30+M234</f>
        <v>0</v>
      </c>
      <c r="O234" s="62">
        <f>'3. Finansinės prielaidos'!G31</f>
        <v>0</v>
      </c>
      <c r="P234" s="62">
        <f>'3. Finansinės prielaidos'!G32</f>
        <v>0</v>
      </c>
      <c r="Q234" s="62" t="e">
        <f t="shared" si="83"/>
        <v>#VALUE!</v>
      </c>
      <c r="R234" s="62" t="e">
        <f>R233+('3. Finansinės prielaidos'!G31-'3. Finansinės prielaidos'!F31)+Q234</f>
        <v>#VALUE!</v>
      </c>
      <c r="S234" s="62" t="e" cm="1">
        <f t="array" ref="S234">SUMPRODUCT(--(2030&gt;'2. Investicijos'!$F$5:$F$24),--(2030&lt;='2. Investicijos'!$F$5:$F$24+'2. Investicijos'!$G$5:$G$24),IFERROR(('2. Investicijos'!$M$5:$M$24+IF('2. Investicijos'!$N$5:$N$24&gt;('2. Investicijos'!$H$5:$H$24*'7. Pasirinktinis scenarijus'!$C$6),'2. Investicijos'!$N$5:$N$24-('2. Investicijos'!$H$5:$H$24*'7. Pasirinktinis scenarijus'!$C$6),0)+('2. Investicijos'!$H$5:$H$24*'7. Pasirinktinis scenarijus'!$C$6))/'2. Investicijos'!$G$5:$G$24,0))+SUMPRODUCT(--(2030&gt;'2. Investicijos'!$F$5:$F$24),--(2030&lt;='2. Investicijos'!$F$5:$F$24+'2. Investicijos'!$G$5:$G$24),IFERROR(('2. Investicijos'!$M$5:$M$24+IF('2. Investicijos'!$N$5:$N$24&gt;('2. Investicijos'!$H$5:$H$24*'7. Pasirinktinis scenarijus'!$C$6),'2. Investicijos'!$N$5:$N$24-('2. Investicijos'!$H$5:$H$24*'7. Pasirinktinis scenarijus'!$C$6),0))*(1-((2030-'2. Investicijos'!$F$5:$F$24)-1)/'2. Investicijos'!$G$5:$G$24),0)*'5. 0% scenarijus'!$C$5)</f>
        <v>#VALUE!</v>
      </c>
      <c r="T234" s="62" t="e">
        <f>'3. Finansinės prielaidos'!G29+S234+G234</f>
        <v>#VALUE!</v>
      </c>
      <c r="U234" s="62" t="e">
        <f t="shared" si="84"/>
        <v>#VALUE!</v>
      </c>
      <c r="V234" s="72" t="e">
        <f t="shared" si="85"/>
        <v>#VALUE!</v>
      </c>
      <c r="W234" s="72" t="e">
        <f t="shared" si="86"/>
        <v>#VALUE!</v>
      </c>
      <c r="X234" s="57" t="e">
        <f t="shared" si="87"/>
        <v>#VALUE!</v>
      </c>
      <c r="Y234" s="57" t="e">
        <f t="shared" si="88"/>
        <v>#VALUE!</v>
      </c>
      <c r="Z234" s="57"/>
      <c r="AA234" s="57"/>
      <c r="AB234" s="57"/>
      <c r="AC234" s="57"/>
      <c r="AD234" s="57"/>
      <c r="AE234" s="57"/>
      <c r="AF234" s="57"/>
      <c r="AG234" s="57"/>
      <c r="AH234" s="57"/>
      <c r="AI234" s="57"/>
      <c r="AJ234" s="57"/>
      <c r="AK234" s="57"/>
      <c r="AL234" s="57"/>
      <c r="AM234" s="57"/>
      <c r="AN234" s="57"/>
      <c r="AO234" s="57"/>
      <c r="AP234" s="57"/>
      <c r="AQ234" s="57"/>
      <c r="AR234" s="57"/>
      <c r="AS234" s="57"/>
    </row>
    <row r="235" spans="1:45">
      <c r="A235" s="57">
        <v>20</v>
      </c>
      <c r="B235" s="57">
        <v>2031</v>
      </c>
      <c r="C235" s="62">
        <f>SUM('4. Metinis CAPEX'!K$9:K$28)</f>
        <v>0</v>
      </c>
      <c r="D235" s="62" cm="1">
        <f t="array" ref="D235">SUMPRODUCT('4. Metinis CAPEX'!K$9:K$28,IFERROR('2. Investicijos'!$N$5:$N$24/'2. Investicijos'!$H$5:$H$24,0))</f>
        <v>0</v>
      </c>
      <c r="E235" s="62" cm="1">
        <f t="array" ref="E235">SUMPRODUCT('4. Metinis CAPEX'!K$9:K$28,IFERROR(('2. Investicijos'!$I$5:$I$24+'2. Investicijos'!$J$5:$J$24+'2. Investicijos'!$K$5:$K$24+'2. Investicijos'!$L$5:$L$24)/'2. Investicijos'!$H$5:$H$24,0))</f>
        <v>0</v>
      </c>
      <c r="F235" s="62" cm="1">
        <f t="array" ref="F235">SUM('2. Investicijos'!$H$5:$H$24*'7. Pasirinktinis scenarijus'!$C$6)</f>
        <v>0</v>
      </c>
      <c r="G235" s="62" cm="1">
        <f t="array" ref="G235">IF(AND(2031&gt;=2026,2031&lt;2026+'7. Pasirinktinis scenarijus'!$C$5),SUM('2. Investicijos'!$H$5:$H$24*'7. Pasirinktinis scenarijus'!$C$6)/'7. Pasirinktinis scenarijus'!$C$5,0)</f>
        <v>0</v>
      </c>
      <c r="H235" s="62">
        <f t="shared" si="82"/>
        <v>0</v>
      </c>
      <c r="I235" s="62">
        <f>SUM(K$5:K$24)</f>
        <v>0</v>
      </c>
      <c r="J235" s="62" t="e" cm="1">
        <f t="array" ref="J235">K235+L235+MAX(0,-R234)*IFERROR(SUMPRODUCT(IF('2. Investicijos'!$N$5:$N$24&gt;('2. Investicijos'!$H$5:$H$24*'7. Pasirinktinis scenarijus'!$C$6),'2. Investicijos'!$N$5:$N$24-('2. Investicijos'!$H$5:$H$24*'7. Pasirinktinis scenarijus'!$C$6),0),'2. Investicijos'!$O$5:$O$24/100)/SUM(IF('2. Investicijos'!$N$5:$N$24&gt;('2. Investicijos'!$H$5:$H$24*'7. Pasirinktinis scenarijus'!$C$6),'2. Investicijos'!$N$5:$N$24-('2. Investicijos'!$H$5:$H$24*'7. Pasirinktinis scenarijus'!$C$6),0)),0)</f>
        <v>#VALUE!</v>
      </c>
      <c r="K235" s="62">
        <f>SUM(AE$5:AE$24)</f>
        <v>0</v>
      </c>
      <c r="L235" s="62">
        <f>SUM(U$5:U$24)</f>
        <v>0</v>
      </c>
      <c r="M235" s="62">
        <f>SUM(AO$5:AO$24)</f>
        <v>0</v>
      </c>
      <c r="N235" s="62">
        <f>'3. Finansinės prielaidos'!H30+M235</f>
        <v>0</v>
      </c>
      <c r="O235" s="62">
        <f>'3. Finansinės prielaidos'!H31</f>
        <v>0</v>
      </c>
      <c r="P235" s="62">
        <f>'3. Finansinės prielaidos'!H32</f>
        <v>0</v>
      </c>
      <c r="Q235" s="62" t="e">
        <f t="shared" si="83"/>
        <v>#VALUE!</v>
      </c>
      <c r="R235" s="62" t="e">
        <f>R234+('3. Finansinės prielaidos'!H31-'3. Finansinės prielaidos'!G31)+Q235</f>
        <v>#VALUE!</v>
      </c>
      <c r="S235" s="62" t="e" cm="1">
        <f t="array" ref="S235">SUMPRODUCT(--(2031&gt;'2. Investicijos'!$F$5:$F$24),--(2031&lt;='2. Investicijos'!$F$5:$F$24+'2. Investicijos'!$G$5:$G$24),IFERROR(('2. Investicijos'!$M$5:$M$24+IF('2. Investicijos'!$N$5:$N$24&gt;('2. Investicijos'!$H$5:$H$24*'7. Pasirinktinis scenarijus'!$C$6),'2. Investicijos'!$N$5:$N$24-('2. Investicijos'!$H$5:$H$24*'7. Pasirinktinis scenarijus'!$C$6),0)+('2. Investicijos'!$H$5:$H$24*'7. Pasirinktinis scenarijus'!$C$6))/'2. Investicijos'!$G$5:$G$24,0))+SUMPRODUCT(--(2031&gt;'2. Investicijos'!$F$5:$F$24),--(2031&lt;='2. Investicijos'!$F$5:$F$24+'2. Investicijos'!$G$5:$G$24),IFERROR(('2. Investicijos'!$M$5:$M$24+IF('2. Investicijos'!$N$5:$N$24&gt;('2. Investicijos'!$H$5:$H$24*'7. Pasirinktinis scenarijus'!$C$6),'2. Investicijos'!$N$5:$N$24-('2. Investicijos'!$H$5:$H$24*'7. Pasirinktinis scenarijus'!$C$6),0))*(1-((2031-'2. Investicijos'!$F$5:$F$24)-1)/'2. Investicijos'!$G$5:$G$24),0)*'5. 0% scenarijus'!$C$5)</f>
        <v>#VALUE!</v>
      </c>
      <c r="T235" s="62" t="e">
        <f>'3. Finansinės prielaidos'!H29+S235+G235</f>
        <v>#VALUE!</v>
      </c>
      <c r="U235" s="62" t="e">
        <f t="shared" si="84"/>
        <v>#VALUE!</v>
      </c>
      <c r="V235" s="72" t="e">
        <f t="shared" si="85"/>
        <v>#VALUE!</v>
      </c>
      <c r="W235" s="72" t="e">
        <f t="shared" si="86"/>
        <v>#VALUE!</v>
      </c>
      <c r="X235" s="57" t="e">
        <f t="shared" si="87"/>
        <v>#VALUE!</v>
      </c>
      <c r="Y235" s="57" t="e">
        <f t="shared" si="88"/>
        <v>#VALUE!</v>
      </c>
      <c r="Z235" s="57"/>
      <c r="AA235" s="57"/>
      <c r="AB235" s="57"/>
      <c r="AC235" s="57"/>
      <c r="AD235" s="57"/>
      <c r="AE235" s="57"/>
      <c r="AF235" s="57"/>
      <c r="AG235" s="57"/>
      <c r="AH235" s="57"/>
      <c r="AI235" s="57"/>
      <c r="AJ235" s="57"/>
      <c r="AK235" s="57"/>
      <c r="AL235" s="57"/>
      <c r="AM235" s="57"/>
      <c r="AN235" s="57"/>
      <c r="AO235" s="57"/>
      <c r="AP235" s="57"/>
      <c r="AQ235" s="57"/>
      <c r="AR235" s="57"/>
      <c r="AS235" s="57"/>
    </row>
    <row r="236" spans="1:45">
      <c r="A236" s="57">
        <v>20</v>
      </c>
      <c r="B236" s="57">
        <v>2032</v>
      </c>
      <c r="C236" s="62">
        <f>SUM('4. Metinis CAPEX'!L$9:L$28)</f>
        <v>0</v>
      </c>
      <c r="D236" s="62" cm="1">
        <f t="array" ref="D236">SUMPRODUCT('4. Metinis CAPEX'!L$9:L$28,IFERROR('2. Investicijos'!$N$5:$N$24/'2. Investicijos'!$H$5:$H$24,0))</f>
        <v>0</v>
      </c>
      <c r="E236" s="62" cm="1">
        <f t="array" ref="E236">SUMPRODUCT('4. Metinis CAPEX'!L$9:L$28,IFERROR(('2. Investicijos'!$I$5:$I$24+'2. Investicijos'!$J$5:$J$24+'2. Investicijos'!$K$5:$K$24+'2. Investicijos'!$L$5:$L$24)/'2. Investicijos'!$H$5:$H$24,0))</f>
        <v>0</v>
      </c>
      <c r="F236" s="62" cm="1">
        <f t="array" ref="F236">SUM('2. Investicijos'!$H$5:$H$24*'7. Pasirinktinis scenarijus'!$C$6)</f>
        <v>0</v>
      </c>
      <c r="G236" s="62" cm="1">
        <f t="array" ref="G236">IF(AND(2032&gt;=2026,2032&lt;2026+'7. Pasirinktinis scenarijus'!$C$5),SUM('2. Investicijos'!$H$5:$H$24*'7. Pasirinktinis scenarijus'!$C$6)/'7. Pasirinktinis scenarijus'!$C$5,0)</f>
        <v>0</v>
      </c>
      <c r="H236" s="62">
        <f t="shared" si="82"/>
        <v>0</v>
      </c>
      <c r="I236" s="62">
        <f>SUM(L$5:L$24)</f>
        <v>0</v>
      </c>
      <c r="J236" s="62" t="e" cm="1">
        <f t="array" ref="J236">K236+L236+MAX(0,-R235)*IFERROR(SUMPRODUCT(IF('2. Investicijos'!$N$5:$N$24&gt;('2. Investicijos'!$H$5:$H$24*'7. Pasirinktinis scenarijus'!$C$6),'2. Investicijos'!$N$5:$N$24-('2. Investicijos'!$H$5:$H$24*'7. Pasirinktinis scenarijus'!$C$6),0),'2. Investicijos'!$O$5:$O$24/100)/SUM(IF('2. Investicijos'!$N$5:$N$24&gt;('2. Investicijos'!$H$5:$H$24*'7. Pasirinktinis scenarijus'!$C$6),'2. Investicijos'!$N$5:$N$24-('2. Investicijos'!$H$5:$H$24*'7. Pasirinktinis scenarijus'!$C$6),0)),0)</f>
        <v>#VALUE!</v>
      </c>
      <c r="K236" s="62">
        <f>SUM(AF$5:AF$24)</f>
        <v>0</v>
      </c>
      <c r="L236" s="62">
        <f>SUM(V$5:V$24)</f>
        <v>0</v>
      </c>
      <c r="M236" s="62">
        <f>SUM(AP$5:AP$24)</f>
        <v>0</v>
      </c>
      <c r="N236" s="62">
        <f>'3. Finansinės prielaidos'!I30+M236</f>
        <v>0</v>
      </c>
      <c r="O236" s="62">
        <f>'3. Finansinės prielaidos'!I31</f>
        <v>0</v>
      </c>
      <c r="P236" s="62">
        <f>'3. Finansinės prielaidos'!I32</f>
        <v>0</v>
      </c>
      <c r="Q236" s="62" t="e">
        <f t="shared" si="83"/>
        <v>#VALUE!</v>
      </c>
      <c r="R236" s="62" t="e">
        <f>R235+('3. Finansinės prielaidos'!I31-'3. Finansinės prielaidos'!H31)+Q236</f>
        <v>#VALUE!</v>
      </c>
      <c r="S236" s="62" t="e" cm="1">
        <f t="array" ref="S236">SUMPRODUCT(--(2032&gt;'2. Investicijos'!$F$5:$F$24),--(2032&lt;='2. Investicijos'!$F$5:$F$24+'2. Investicijos'!$G$5:$G$24),IFERROR(('2. Investicijos'!$M$5:$M$24+IF('2. Investicijos'!$N$5:$N$24&gt;('2. Investicijos'!$H$5:$H$24*'7. Pasirinktinis scenarijus'!$C$6),'2. Investicijos'!$N$5:$N$24-('2. Investicijos'!$H$5:$H$24*'7. Pasirinktinis scenarijus'!$C$6),0)+('2. Investicijos'!$H$5:$H$24*'7. Pasirinktinis scenarijus'!$C$6))/'2. Investicijos'!$G$5:$G$24,0))+SUMPRODUCT(--(2032&gt;'2. Investicijos'!$F$5:$F$24),--(2032&lt;='2. Investicijos'!$F$5:$F$24+'2. Investicijos'!$G$5:$G$24),IFERROR(('2. Investicijos'!$M$5:$M$24+IF('2. Investicijos'!$N$5:$N$24&gt;('2. Investicijos'!$H$5:$H$24*'7. Pasirinktinis scenarijus'!$C$6),'2. Investicijos'!$N$5:$N$24-('2. Investicijos'!$H$5:$H$24*'7. Pasirinktinis scenarijus'!$C$6),0))*(1-((2032-'2. Investicijos'!$F$5:$F$24)-1)/'2. Investicijos'!$G$5:$G$24),0)*'5. 0% scenarijus'!$C$5)</f>
        <v>#VALUE!</v>
      </c>
      <c r="T236" s="62" t="e">
        <f>'3. Finansinės prielaidos'!I29+S236+G236</f>
        <v>#VALUE!</v>
      </c>
      <c r="U236" s="62" t="e">
        <f t="shared" si="84"/>
        <v>#VALUE!</v>
      </c>
      <c r="V236" s="72" t="e">
        <f t="shared" si="85"/>
        <v>#VALUE!</v>
      </c>
      <c r="W236" s="72" t="e">
        <f t="shared" si="86"/>
        <v>#VALUE!</v>
      </c>
      <c r="X236" s="57" t="e">
        <f t="shared" si="87"/>
        <v>#VALUE!</v>
      </c>
      <c r="Y236" s="57" t="e">
        <f t="shared" si="88"/>
        <v>#VALUE!</v>
      </c>
      <c r="Z236" s="57"/>
      <c r="AA236" s="57"/>
      <c r="AB236" s="57"/>
      <c r="AC236" s="57"/>
      <c r="AD236" s="57"/>
      <c r="AE236" s="57"/>
      <c r="AF236" s="57"/>
      <c r="AG236" s="57"/>
      <c r="AH236" s="57"/>
      <c r="AI236" s="57"/>
      <c r="AJ236" s="57"/>
      <c r="AK236" s="57"/>
      <c r="AL236" s="57"/>
      <c r="AM236" s="57"/>
      <c r="AN236" s="57"/>
      <c r="AO236" s="57"/>
      <c r="AP236" s="57"/>
      <c r="AQ236" s="57"/>
      <c r="AR236" s="57"/>
      <c r="AS236" s="57"/>
    </row>
    <row r="237" spans="1:45">
      <c r="A237" s="57">
        <v>20</v>
      </c>
      <c r="B237" s="57">
        <v>2033</v>
      </c>
      <c r="C237" s="62">
        <f>SUM('4. Metinis CAPEX'!M$9:M$28)</f>
        <v>0</v>
      </c>
      <c r="D237" s="62" cm="1">
        <f t="array" ref="D237">SUMPRODUCT('4. Metinis CAPEX'!M$9:M$28,IFERROR('2. Investicijos'!$N$5:$N$24/'2. Investicijos'!$H$5:$H$24,0))</f>
        <v>0</v>
      </c>
      <c r="E237" s="62" cm="1">
        <f t="array" ref="E237">SUMPRODUCT('4. Metinis CAPEX'!M$9:M$28,IFERROR(('2. Investicijos'!$I$5:$I$24+'2. Investicijos'!$J$5:$J$24+'2. Investicijos'!$K$5:$K$24+'2. Investicijos'!$L$5:$L$24)/'2. Investicijos'!$H$5:$H$24,0))</f>
        <v>0</v>
      </c>
      <c r="F237" s="62" cm="1">
        <f t="array" ref="F237">SUM('2. Investicijos'!$H$5:$H$24*'7. Pasirinktinis scenarijus'!$C$6)</f>
        <v>0</v>
      </c>
      <c r="G237" s="62" cm="1">
        <f t="array" ref="G237">IF(AND(2033&gt;=2026,2033&lt;2026+'7. Pasirinktinis scenarijus'!$C$5),SUM('2. Investicijos'!$H$5:$H$24*'7. Pasirinktinis scenarijus'!$C$6)/'7. Pasirinktinis scenarijus'!$C$5,0)</f>
        <v>0</v>
      </c>
      <c r="H237" s="62">
        <f t="shared" si="82"/>
        <v>0</v>
      </c>
      <c r="I237" s="62">
        <f>SUM(M$5:M$24)</f>
        <v>0</v>
      </c>
      <c r="J237" s="62" t="e" cm="1">
        <f t="array" ref="J237">K237+L237+MAX(0,-R236)*IFERROR(SUMPRODUCT(IF('2. Investicijos'!$N$5:$N$24&gt;('2. Investicijos'!$H$5:$H$24*'7. Pasirinktinis scenarijus'!$C$6),'2. Investicijos'!$N$5:$N$24-('2. Investicijos'!$H$5:$H$24*'7. Pasirinktinis scenarijus'!$C$6),0),'2. Investicijos'!$O$5:$O$24/100)/SUM(IF('2. Investicijos'!$N$5:$N$24&gt;('2. Investicijos'!$H$5:$H$24*'7. Pasirinktinis scenarijus'!$C$6),'2. Investicijos'!$N$5:$N$24-('2. Investicijos'!$H$5:$H$24*'7. Pasirinktinis scenarijus'!$C$6),0)),0)</f>
        <v>#VALUE!</v>
      </c>
      <c r="K237" s="62">
        <f>SUM(AG$5:AG$24)</f>
        <v>0</v>
      </c>
      <c r="L237" s="62">
        <f>SUM(W$5:W$24)</f>
        <v>0</v>
      </c>
      <c r="M237" s="62">
        <f>SUM(AQ$5:AQ$24)</f>
        <v>0</v>
      </c>
      <c r="N237" s="62">
        <f>'3. Finansinės prielaidos'!J30+M237</f>
        <v>0</v>
      </c>
      <c r="O237" s="62">
        <f>'3. Finansinės prielaidos'!J31</f>
        <v>0</v>
      </c>
      <c r="P237" s="62">
        <f>'3. Finansinės prielaidos'!J32</f>
        <v>0</v>
      </c>
      <c r="Q237" s="62" t="e">
        <f t="shared" si="83"/>
        <v>#VALUE!</v>
      </c>
      <c r="R237" s="62" t="e">
        <f>R236+('3. Finansinės prielaidos'!J31-'3. Finansinės prielaidos'!I31)+Q237</f>
        <v>#VALUE!</v>
      </c>
      <c r="S237" s="62" t="e" cm="1">
        <f t="array" ref="S237">SUMPRODUCT(--(2033&gt;'2. Investicijos'!$F$5:$F$24),--(2033&lt;='2. Investicijos'!$F$5:$F$24+'2. Investicijos'!$G$5:$G$24),IFERROR(('2. Investicijos'!$M$5:$M$24+IF('2. Investicijos'!$N$5:$N$24&gt;('2. Investicijos'!$H$5:$H$24*'7. Pasirinktinis scenarijus'!$C$6),'2. Investicijos'!$N$5:$N$24-('2. Investicijos'!$H$5:$H$24*'7. Pasirinktinis scenarijus'!$C$6),0)+('2. Investicijos'!$H$5:$H$24*'7. Pasirinktinis scenarijus'!$C$6))/'2. Investicijos'!$G$5:$G$24,0))+SUMPRODUCT(--(2033&gt;'2. Investicijos'!$F$5:$F$24),--(2033&lt;='2. Investicijos'!$F$5:$F$24+'2. Investicijos'!$G$5:$G$24),IFERROR(('2. Investicijos'!$M$5:$M$24+IF('2. Investicijos'!$N$5:$N$24&gt;('2. Investicijos'!$H$5:$H$24*'7. Pasirinktinis scenarijus'!$C$6),'2. Investicijos'!$N$5:$N$24-('2. Investicijos'!$H$5:$H$24*'7. Pasirinktinis scenarijus'!$C$6),0))*(1-((2033-'2. Investicijos'!$F$5:$F$24)-1)/'2. Investicijos'!$G$5:$G$24),0)*'5. 0% scenarijus'!$C$5)</f>
        <v>#VALUE!</v>
      </c>
      <c r="T237" s="62" t="e">
        <f>'3. Finansinės prielaidos'!J29+S237+G237</f>
        <v>#VALUE!</v>
      </c>
      <c r="U237" s="62" t="e">
        <f t="shared" si="84"/>
        <v>#VALUE!</v>
      </c>
      <c r="V237" s="72" t="e">
        <f t="shared" si="85"/>
        <v>#VALUE!</v>
      </c>
      <c r="W237" s="72" t="e">
        <f t="shared" si="86"/>
        <v>#VALUE!</v>
      </c>
      <c r="X237" s="57" t="e">
        <f t="shared" si="87"/>
        <v>#VALUE!</v>
      </c>
      <c r="Y237" s="57" t="e">
        <f t="shared" si="88"/>
        <v>#VALUE!</v>
      </c>
      <c r="Z237" s="57"/>
      <c r="AA237" s="57"/>
      <c r="AB237" s="57"/>
      <c r="AC237" s="57"/>
      <c r="AD237" s="57"/>
      <c r="AE237" s="57"/>
      <c r="AF237" s="57"/>
      <c r="AG237" s="57"/>
      <c r="AH237" s="57"/>
      <c r="AI237" s="57"/>
      <c r="AJ237" s="57"/>
      <c r="AK237" s="57"/>
      <c r="AL237" s="57"/>
      <c r="AM237" s="57"/>
      <c r="AN237" s="57"/>
      <c r="AO237" s="57"/>
      <c r="AP237" s="57"/>
      <c r="AQ237" s="57"/>
      <c r="AR237" s="57"/>
      <c r="AS237" s="57"/>
    </row>
    <row r="238" spans="1:45">
      <c r="A238" s="57">
        <v>20</v>
      </c>
      <c r="B238" s="57">
        <v>2034</v>
      </c>
      <c r="C238" s="62">
        <f>SUM('4. Metinis CAPEX'!N$9:N$28)</f>
        <v>0</v>
      </c>
      <c r="D238" s="62" cm="1">
        <f t="array" ref="D238">SUMPRODUCT('4. Metinis CAPEX'!N$9:N$28,IFERROR('2. Investicijos'!$N$5:$N$24/'2. Investicijos'!$H$5:$H$24,0))</f>
        <v>0</v>
      </c>
      <c r="E238" s="62" cm="1">
        <f t="array" ref="E238">SUMPRODUCT('4. Metinis CAPEX'!N$9:N$28,IFERROR(('2. Investicijos'!$I$5:$I$24+'2. Investicijos'!$J$5:$J$24+'2. Investicijos'!$K$5:$K$24+'2. Investicijos'!$L$5:$L$24)/'2. Investicijos'!$H$5:$H$24,0))</f>
        <v>0</v>
      </c>
      <c r="F238" s="62" cm="1">
        <f t="array" ref="F238">SUM('2. Investicijos'!$H$5:$H$24*'7. Pasirinktinis scenarijus'!$C$6)</f>
        <v>0</v>
      </c>
      <c r="G238" s="62" cm="1">
        <f t="array" ref="G238">IF(AND(2034&gt;=2026,2034&lt;2026+'7. Pasirinktinis scenarijus'!$C$5),SUM('2. Investicijos'!$H$5:$H$24*'7. Pasirinktinis scenarijus'!$C$6)/'7. Pasirinktinis scenarijus'!$C$5,0)</f>
        <v>0</v>
      </c>
      <c r="H238" s="62">
        <f t="shared" si="82"/>
        <v>0</v>
      </c>
      <c r="I238" s="62">
        <f>SUM(N$5:N$24)</f>
        <v>0</v>
      </c>
      <c r="J238" s="62" t="e" cm="1">
        <f t="array" ref="J238">K238+L238+MAX(0,-R237)*IFERROR(SUMPRODUCT(IF('2. Investicijos'!$N$5:$N$24&gt;('2. Investicijos'!$H$5:$H$24*'7. Pasirinktinis scenarijus'!$C$6),'2. Investicijos'!$N$5:$N$24-('2. Investicijos'!$H$5:$H$24*'7. Pasirinktinis scenarijus'!$C$6),0),'2. Investicijos'!$O$5:$O$24/100)/SUM(IF('2. Investicijos'!$N$5:$N$24&gt;('2. Investicijos'!$H$5:$H$24*'7. Pasirinktinis scenarijus'!$C$6),'2. Investicijos'!$N$5:$N$24-('2. Investicijos'!$H$5:$H$24*'7. Pasirinktinis scenarijus'!$C$6),0)),0)</f>
        <v>#VALUE!</v>
      </c>
      <c r="K238" s="62">
        <f>SUM(AH$5:AH$24)</f>
        <v>0</v>
      </c>
      <c r="L238" s="62">
        <f>SUM(X$5:X$24)</f>
        <v>0</v>
      </c>
      <c r="M238" s="62">
        <f>SUM(AR$5:AR$24)</f>
        <v>0</v>
      </c>
      <c r="N238" s="62">
        <f>'3. Finansinės prielaidos'!K30+M238</f>
        <v>0</v>
      </c>
      <c r="O238" s="62">
        <f>'3. Finansinės prielaidos'!K31</f>
        <v>0</v>
      </c>
      <c r="P238" s="62">
        <f>'3. Finansinės prielaidos'!K32</f>
        <v>0</v>
      </c>
      <c r="Q238" s="62" t="e">
        <f t="shared" si="83"/>
        <v>#VALUE!</v>
      </c>
      <c r="R238" s="62" t="e">
        <f>R237+('3. Finansinės prielaidos'!K31-'3. Finansinės prielaidos'!J31)+Q238</f>
        <v>#VALUE!</v>
      </c>
      <c r="S238" s="62" t="e" cm="1">
        <f t="array" ref="S238">SUMPRODUCT(--(2034&gt;'2. Investicijos'!$F$5:$F$24),--(2034&lt;='2. Investicijos'!$F$5:$F$24+'2. Investicijos'!$G$5:$G$24),IFERROR(('2. Investicijos'!$M$5:$M$24+IF('2. Investicijos'!$N$5:$N$24&gt;('2. Investicijos'!$H$5:$H$24*'7. Pasirinktinis scenarijus'!$C$6),'2. Investicijos'!$N$5:$N$24-('2. Investicijos'!$H$5:$H$24*'7. Pasirinktinis scenarijus'!$C$6),0)+('2. Investicijos'!$H$5:$H$24*'7. Pasirinktinis scenarijus'!$C$6))/'2. Investicijos'!$G$5:$G$24,0))+SUMPRODUCT(--(2034&gt;'2. Investicijos'!$F$5:$F$24),--(2034&lt;='2. Investicijos'!$F$5:$F$24+'2. Investicijos'!$G$5:$G$24),IFERROR(('2. Investicijos'!$M$5:$M$24+IF('2. Investicijos'!$N$5:$N$24&gt;('2. Investicijos'!$H$5:$H$24*'7. Pasirinktinis scenarijus'!$C$6),'2. Investicijos'!$N$5:$N$24-('2. Investicijos'!$H$5:$H$24*'7. Pasirinktinis scenarijus'!$C$6),0))*(1-((2034-'2. Investicijos'!$F$5:$F$24)-1)/'2. Investicijos'!$G$5:$G$24),0)*'5. 0% scenarijus'!$C$5)</f>
        <v>#VALUE!</v>
      </c>
      <c r="T238" s="62" t="e">
        <f>'3. Finansinės prielaidos'!K29+S238+G238</f>
        <v>#VALUE!</v>
      </c>
      <c r="U238" s="62" t="e">
        <f t="shared" si="84"/>
        <v>#VALUE!</v>
      </c>
      <c r="V238" s="72" t="e">
        <f t="shared" si="85"/>
        <v>#VALUE!</v>
      </c>
      <c r="W238" s="72" t="e">
        <f t="shared" si="86"/>
        <v>#VALUE!</v>
      </c>
      <c r="X238" s="57" t="e">
        <f t="shared" si="87"/>
        <v>#VALUE!</v>
      </c>
      <c r="Y238" s="57" t="e">
        <f t="shared" si="88"/>
        <v>#VALUE!</v>
      </c>
      <c r="Z238" s="57"/>
      <c r="AA238" s="57"/>
      <c r="AB238" s="57"/>
      <c r="AC238" s="57"/>
      <c r="AD238" s="57"/>
      <c r="AE238" s="57"/>
      <c r="AF238" s="57"/>
      <c r="AG238" s="57"/>
      <c r="AH238" s="57"/>
      <c r="AI238" s="57"/>
      <c r="AJ238" s="57"/>
      <c r="AK238" s="57"/>
      <c r="AL238" s="57"/>
      <c r="AM238" s="57"/>
      <c r="AN238" s="57"/>
      <c r="AO238" s="57"/>
      <c r="AP238" s="57"/>
      <c r="AQ238" s="57"/>
      <c r="AR238" s="57"/>
      <c r="AS238" s="57"/>
    </row>
    <row r="239" spans="1:45">
      <c r="A239" s="57">
        <v>20</v>
      </c>
      <c r="B239" s="57">
        <v>2035</v>
      </c>
      <c r="C239" s="62">
        <f>SUM('4. Metinis CAPEX'!O$9:O$28)</f>
        <v>0</v>
      </c>
      <c r="D239" s="62" cm="1">
        <f t="array" ref="D239">SUMPRODUCT('4. Metinis CAPEX'!O$9:O$28,IFERROR('2. Investicijos'!$N$5:$N$24/'2. Investicijos'!$H$5:$H$24,0))</f>
        <v>0</v>
      </c>
      <c r="E239" s="62" cm="1">
        <f t="array" ref="E239">SUMPRODUCT('4. Metinis CAPEX'!O$9:O$28,IFERROR(('2. Investicijos'!$I$5:$I$24+'2. Investicijos'!$J$5:$J$24+'2. Investicijos'!$K$5:$K$24+'2. Investicijos'!$L$5:$L$24)/'2. Investicijos'!$H$5:$H$24,0))</f>
        <v>0</v>
      </c>
      <c r="F239" s="62" cm="1">
        <f t="array" ref="F239">SUM('2. Investicijos'!$H$5:$H$24*'7. Pasirinktinis scenarijus'!$C$6)</f>
        <v>0</v>
      </c>
      <c r="G239" s="62" cm="1">
        <f t="array" ref="G239">IF(AND(2035&gt;=2026,2035&lt;2026+'7. Pasirinktinis scenarijus'!$C$5),SUM('2. Investicijos'!$H$5:$H$24*'7. Pasirinktinis scenarijus'!$C$6)/'7. Pasirinktinis scenarijus'!$C$5,0)</f>
        <v>0</v>
      </c>
      <c r="H239" s="62">
        <f t="shared" si="82"/>
        <v>0</v>
      </c>
      <c r="I239" s="62">
        <f>SUM(O$5:O$24)</f>
        <v>0</v>
      </c>
      <c r="J239" s="62" t="e" cm="1">
        <f t="array" ref="J239">K239+L239+MAX(0,-R238)*IFERROR(SUMPRODUCT(IF('2. Investicijos'!$N$5:$N$24&gt;('2. Investicijos'!$H$5:$H$24*'7. Pasirinktinis scenarijus'!$C$6),'2. Investicijos'!$N$5:$N$24-('2. Investicijos'!$H$5:$H$24*'7. Pasirinktinis scenarijus'!$C$6),0),'2. Investicijos'!$O$5:$O$24/100)/SUM(IF('2. Investicijos'!$N$5:$N$24&gt;('2. Investicijos'!$H$5:$H$24*'7. Pasirinktinis scenarijus'!$C$6),'2. Investicijos'!$N$5:$N$24-('2. Investicijos'!$H$5:$H$24*'7. Pasirinktinis scenarijus'!$C$6),0)),0)</f>
        <v>#VALUE!</v>
      </c>
      <c r="K239" s="62">
        <f>SUM(AI$5:AI$24)</f>
        <v>0</v>
      </c>
      <c r="L239" s="62">
        <f>SUM(Y$5:Y$24)</f>
        <v>0</v>
      </c>
      <c r="M239" s="62">
        <f>SUM(AS$5:AS$24)</f>
        <v>0</v>
      </c>
      <c r="N239" s="62">
        <f>'3. Finansinės prielaidos'!L30+M239</f>
        <v>0</v>
      </c>
      <c r="O239" s="62">
        <f>'3. Finansinės prielaidos'!L31</f>
        <v>0</v>
      </c>
      <c r="P239" s="62">
        <f>'3. Finansinės prielaidos'!L32</f>
        <v>0</v>
      </c>
      <c r="Q239" s="62" t="e">
        <f t="shared" si="83"/>
        <v>#VALUE!</v>
      </c>
      <c r="R239" s="62" t="e">
        <f>R238+('3. Finansinės prielaidos'!L31-'3. Finansinės prielaidos'!K31)+Q239</f>
        <v>#VALUE!</v>
      </c>
      <c r="S239" s="62" t="e" cm="1">
        <f t="array" ref="S239">SUMPRODUCT(--(2035&gt;'2. Investicijos'!$F$5:$F$24),--(2035&lt;='2. Investicijos'!$F$5:$F$24+'2. Investicijos'!$G$5:$G$24),IFERROR(('2. Investicijos'!$M$5:$M$24+IF('2. Investicijos'!$N$5:$N$24&gt;('2. Investicijos'!$H$5:$H$24*'7. Pasirinktinis scenarijus'!$C$6),'2. Investicijos'!$N$5:$N$24-('2. Investicijos'!$H$5:$H$24*'7. Pasirinktinis scenarijus'!$C$6),0)+('2. Investicijos'!$H$5:$H$24*'7. Pasirinktinis scenarijus'!$C$6))/'2. Investicijos'!$G$5:$G$24,0))+SUMPRODUCT(--(2035&gt;'2. Investicijos'!$F$5:$F$24),--(2035&lt;='2. Investicijos'!$F$5:$F$24+'2. Investicijos'!$G$5:$G$24),IFERROR(('2. Investicijos'!$M$5:$M$24+IF('2. Investicijos'!$N$5:$N$24&gt;('2. Investicijos'!$H$5:$H$24*'7. Pasirinktinis scenarijus'!$C$6),'2. Investicijos'!$N$5:$N$24-('2. Investicijos'!$H$5:$H$24*'7. Pasirinktinis scenarijus'!$C$6),0))*(1-((2035-'2. Investicijos'!$F$5:$F$24)-1)/'2. Investicijos'!$G$5:$G$24),0)*'5. 0% scenarijus'!$C$5)</f>
        <v>#VALUE!</v>
      </c>
      <c r="T239" s="62" t="e">
        <f>'3. Finansinės prielaidos'!L29+S239+G239</f>
        <v>#VALUE!</v>
      </c>
      <c r="U239" s="62" t="e">
        <f t="shared" si="84"/>
        <v>#VALUE!</v>
      </c>
      <c r="V239" s="72" t="e">
        <f t="shared" si="85"/>
        <v>#VALUE!</v>
      </c>
      <c r="W239" s="72" t="e">
        <f t="shared" si="86"/>
        <v>#VALUE!</v>
      </c>
      <c r="X239" s="57" t="e">
        <f t="shared" si="87"/>
        <v>#VALUE!</v>
      </c>
      <c r="Y239" s="57" t="e">
        <f t="shared" si="88"/>
        <v>#VALUE!</v>
      </c>
      <c r="Z239" s="57"/>
      <c r="AA239" s="57"/>
      <c r="AB239" s="57"/>
      <c r="AC239" s="57"/>
      <c r="AD239" s="57"/>
      <c r="AE239" s="57"/>
      <c r="AF239" s="57"/>
      <c r="AG239" s="57"/>
      <c r="AH239" s="57"/>
      <c r="AI239" s="57"/>
      <c r="AJ239" s="57"/>
      <c r="AK239" s="57"/>
      <c r="AL239" s="57"/>
      <c r="AM239" s="57"/>
      <c r="AN239" s="57"/>
      <c r="AO239" s="57"/>
      <c r="AP239" s="57"/>
      <c r="AQ239" s="57"/>
      <c r="AR239" s="57"/>
      <c r="AS239" s="57"/>
    </row>
  </sheetData>
  <mergeCells count="8">
    <mergeCell ref="A25:B25"/>
    <mergeCell ref="A28:Y28"/>
    <mergeCell ref="A1:AS1"/>
    <mergeCell ref="A2:AS2"/>
    <mergeCell ref="F3:O3"/>
    <mergeCell ref="P3:Y3"/>
    <mergeCell ref="Z3:AI3"/>
    <mergeCell ref="AJ3:AS3"/>
  </mergeCells>
  <conditionalFormatting sqref="X30:X239">
    <cfRule type="expression" dxfId="1" priority="1">
      <formula>X30="ATITINKA"</formula>
    </cfRule>
    <cfRule type="expression" dxfId="0" priority="2">
      <formula>X30="NEATITINKA"</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24BF5EE0C4D80640B721F3282B208C30" ma:contentTypeVersion="1" ma:contentTypeDescription="Kurkite naują dokumentą." ma:contentTypeScope="" ma:versionID="25721d45be1f04fdcb048f183f7b7c69">
  <xsd:schema xmlns:xsd="http://www.w3.org/2001/XMLSchema" xmlns:xs="http://www.w3.org/2001/XMLSchema" xmlns:p="http://schemas.microsoft.com/office/2006/metadata/properties" xmlns:ns2="e8ad8025-1eb2-494f-b36d-1013a19dfede" targetNamespace="http://schemas.microsoft.com/office/2006/metadata/properties" ma:root="true" ma:fieldsID="3f56b2765a7b4bb6a831665d10b98698" ns2:_="">
    <xsd:import namespace="e8ad8025-1eb2-494f-b36d-1013a19dfede"/>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ad8025-1eb2-494f-b36d-1013a19dfede" elementFormDefault="qualified">
    <xsd:import namespace="http://schemas.microsoft.com/office/2006/documentManagement/types"/>
    <xsd:import namespace="http://schemas.microsoft.com/office/infopath/2007/PartnerControls"/>
    <xsd:element name="SharedWithUsers" ma:index="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F081B8-9AFE-4672-8FB8-EE73F3F126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ad8025-1eb2-494f-b36d-1013a19dfe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F3F313-5BEA-40FA-8A22-09EC173B516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4152967-BE3F-435B-9342-C19BF42F78B8}">
  <ds:schemaRefs>
    <ds:schemaRef ds:uri="http://schemas.microsoft.com/sharepoint/v3/contenttype/forms"/>
  </ds:schemaRefs>
</ds:datastoreItem>
</file>

<file path=docMetadata/LabelInfo.xml><?xml version="1.0" encoding="utf-8"?>
<clbl:labelList xmlns:clbl="http://schemas.microsoft.com/office/2020/mipLabelMetadata">
  <clbl:label id="{d85af225-6a85-44fb-a1ae-a0ed1e911eec}" enabled="0" method="" siteId="{d85af225-6a85-44fb-a1ae-a0ed1e911ee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1. Instrukcija</vt:lpstr>
      <vt:lpstr>2. Investicijos</vt:lpstr>
      <vt:lpstr>3. Finansinės prielaidos</vt:lpstr>
      <vt:lpstr>4. Metinis CAPEX</vt:lpstr>
      <vt:lpstr>5. 0% scenarijus</vt:lpstr>
      <vt:lpstr>5A. Pagalbiniai skaičiavimai</vt:lpstr>
      <vt:lpstr>6. Aprašo scenarijus</vt:lpstr>
      <vt:lpstr>6A. Pagalbiniai skaičiavimai</vt:lpstr>
      <vt:lpstr>7. Pasirinktinis scenarijus</vt:lpstr>
      <vt:lpstr>7A. Pagalbiniai skaičiavimai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Aivaras Ciesiūnas</dc:creator>
  <cp:lastModifiedBy>Simona Stankė</cp:lastModifiedBy>
  <cp:lastPrinted>2026-09-28T12:22:35Z</cp:lastPrinted>
  <dcterms:created xsi:type="dcterms:W3CDTF">2026-09-22T13:33:19Z</dcterms:created>
  <dcterms:modified xsi:type="dcterms:W3CDTF">2026-10-16T08:00:20Z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0x01010024BF5EE0C4D80640B721F3282B208C30</vt:lpwstr>
  </property>
</Properties>
</file>