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drawings/drawing2.xml" ContentType="application/vnd.openxmlformats-officedocument.drawingml.chartshape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filterPrivacy="1" defaultThemeVersion="124226"/>
  <xr:revisionPtr revIDLastSave="0" documentId="8_{EA91E702-9EC5-4409-82E1-91D5852CA2A5}" xr6:coauthVersionLast="47" xr6:coauthVersionMax="47" xr10:uidLastSave="{00000000-0000-0000-0000-000000000000}"/>
  <bookViews>
    <workbookView xWindow="-120" yWindow="-120" windowWidth="29040" windowHeight="15840" tabRatio="882" xr2:uid="{00000000-000D-0000-FFFF-FFFF00000000}"/>
  </bookViews>
  <sheets>
    <sheet name="Annex 2. Prices 2024" sheetId="9" r:id="rId1"/>
    <sheet name="Annex 2. Ms, SFs, Short term " sheetId="11" r:id="rId2"/>
    <sheet name="2pr. pagr. duom. kn skaiciuoti" sheetId="15" r:id="rId3"/>
    <sheet name="Annex 2. Calc. of SFs_Unified" sheetId="13" r:id="rId4"/>
    <sheet name="Annex 2. 2024 Firm" sheetId="16" r:id="rId5"/>
    <sheet name="Annex 2. 2024 Interruptible" sheetId="18" r:id="rId6"/>
  </sheets>
  <definedNames>
    <definedName name="_xlnm._FilterDatabase" localSheetId="3" hidden="1">'Annex 2. Calc. of SFs_Unified'!#REF!</definedName>
    <definedName name="_xlnm._FilterDatabase" localSheetId="1" hidden="1">'Annex 2. Ms, SFs, Short term '!#REF!</definedName>
    <definedName name="_xlnm._FilterDatabase" localSheetId="0" hidden="1">'Annex 2. Prices 2024'!#REF!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187" i="9" l="1"/>
  <c r="F20" i="9"/>
  <c r="G188" i="9" l="1"/>
  <c r="E187" i="9" l="1"/>
  <c r="E188" i="9"/>
  <c r="E711" i="9"/>
  <c r="E710" i="9"/>
  <c r="E670" i="9"/>
  <c r="H303" i="9"/>
  <c r="H302" i="9"/>
  <c r="H296" i="9"/>
  <c r="H291" i="9"/>
  <c r="H286" i="9"/>
  <c r="H281" i="9"/>
  <c r="H276" i="9"/>
  <c r="E232" i="9" a="1"/>
  <c r="E232" i="9" s="1"/>
  <c r="E227" i="9" a="1"/>
  <c r="E227" i="9" s="1"/>
  <c r="E222" i="9" a="1"/>
  <c r="E222" i="9" s="1"/>
  <c r="E179" i="9"/>
  <c r="E178" i="9"/>
  <c r="F175" i="9"/>
  <c r="E173" i="9"/>
  <c r="F174" i="9" s="1"/>
  <c r="I122" i="9"/>
  <c r="G115" i="9"/>
  <c r="E114" i="9"/>
  <c r="E116" i="9" s="1"/>
  <c r="G113" i="9"/>
  <c r="G112" i="9"/>
  <c r="E111" i="9"/>
  <c r="G111" i="9" s="1"/>
  <c r="G110" i="9"/>
  <c r="G109" i="9"/>
  <c r="G108" i="9"/>
  <c r="G107" i="9"/>
  <c r="E106" i="9"/>
  <c r="G106" i="9" s="1"/>
  <c r="G103" i="9"/>
  <c r="G100" i="9"/>
  <c r="G96" i="9"/>
  <c r="E80" i="9"/>
  <c r="E76" i="9"/>
  <c r="E66" i="9"/>
  <c r="E65" i="9"/>
  <c r="E64" i="9"/>
  <c r="E48" i="9"/>
  <c r="E38" i="9"/>
  <c r="E35" i="9"/>
  <c r="E34" i="9" s="1"/>
  <c r="E33" i="9"/>
  <c r="E32" i="9"/>
  <c r="E31" i="9"/>
  <c r="E30" i="9"/>
  <c r="E36" i="9" s="1"/>
  <c r="E25" i="9"/>
  <c r="E20" i="9"/>
  <c r="E19" i="9" s="1"/>
  <c r="E12" i="9"/>
  <c r="E11" i="9" s="1"/>
  <c r="E177" i="9"/>
  <c r="E176" i="9"/>
  <c r="E175" i="9"/>
  <c r="E174" i="9"/>
  <c r="H294" i="9" l="1"/>
  <c r="H283" i="9"/>
  <c r="H284" i="9"/>
  <c r="H298" i="9"/>
  <c r="H299" i="9"/>
  <c r="H288" i="9"/>
  <c r="H278" i="9"/>
  <c r="H279" i="9"/>
  <c r="H293" i="9"/>
  <c r="H289" i="9"/>
  <c r="G116" i="9"/>
  <c r="H282" i="9"/>
  <c r="H287" i="9"/>
  <c r="H277" i="9"/>
  <c r="J122" i="9"/>
  <c r="H292" i="9"/>
  <c r="H297" i="9"/>
  <c r="E150" i="9"/>
  <c r="E136" i="9" s="1"/>
  <c r="G114" i="9"/>
  <c r="E72" i="9" l="1"/>
  <c r="G136" i="9"/>
  <c r="E698" i="9"/>
  <c r="E137" i="9"/>
  <c r="I136" i="9"/>
  <c r="J136" i="9" s="1"/>
  <c r="H136" i="9"/>
  <c r="E69" i="9" l="1"/>
  <c r="I137" i="9"/>
  <c r="J137" i="9" s="1"/>
  <c r="H137" i="9"/>
  <c r="G137" i="9"/>
  <c r="E702" i="9"/>
  <c r="E138" i="9"/>
  <c r="E71" i="9"/>
  <c r="E68" i="9" s="1"/>
  <c r="E700" i="9" l="1"/>
  <c r="E139" i="9"/>
  <c r="I138" i="9"/>
  <c r="J138" i="9" s="1"/>
  <c r="H138" i="9"/>
  <c r="G138" i="9"/>
  <c r="G139" i="9" l="1"/>
  <c r="E140" i="9"/>
  <c r="I139" i="9"/>
  <c r="J139" i="9" s="1"/>
  <c r="H139" i="9"/>
  <c r="E701" i="9"/>
  <c r="E699" i="9" l="1"/>
  <c r="E697" i="9" s="1"/>
  <c r="I140" i="9"/>
  <c r="J140" i="9" s="1"/>
  <c r="H140" i="9"/>
  <c r="G140" i="9"/>
  <c r="D17" i="15" l="1"/>
  <c r="C6" i="15" l="1"/>
  <c r="AF55" i="11"/>
  <c r="AG54" i="11"/>
  <c r="AF54" i="11"/>
  <c r="AA55" i="11"/>
  <c r="AA54" i="11"/>
  <c r="X55" i="11"/>
  <c r="X54" i="11"/>
  <c r="T55" i="11"/>
  <c r="T54" i="11"/>
  <c r="S55" i="11"/>
  <c r="P55" i="11"/>
  <c r="P54" i="11"/>
  <c r="M55" i="11"/>
  <c r="M54" i="11"/>
  <c r="I55" i="11"/>
  <c r="I54" i="11"/>
  <c r="H55" i="11"/>
  <c r="H54" i="11"/>
  <c r="G55" i="11"/>
  <c r="G54" i="11"/>
  <c r="F55" i="11"/>
  <c r="F54" i="11"/>
  <c r="E55" i="11"/>
  <c r="E54" i="11"/>
  <c r="D55" i="11"/>
  <c r="D54" i="11"/>
  <c r="E38" i="11"/>
  <c r="H40" i="11"/>
  <c r="I39" i="11"/>
  <c r="E40" i="11"/>
  <c r="G38" i="11"/>
  <c r="D37" i="11"/>
  <c r="D38" i="11"/>
  <c r="G37" i="11"/>
  <c r="G39" i="11"/>
  <c r="H37" i="11"/>
  <c r="I37" i="11"/>
  <c r="J37" i="11"/>
  <c r="I38" i="11"/>
  <c r="H38" i="11"/>
  <c r="H39" i="11"/>
  <c r="I40" i="11"/>
  <c r="J38" i="11"/>
  <c r="J39" i="11"/>
  <c r="J40" i="11"/>
  <c r="K37" i="11"/>
  <c r="K38" i="11"/>
  <c r="K39" i="11"/>
  <c r="K40" i="11"/>
  <c r="D40" i="11"/>
  <c r="D39" i="11"/>
  <c r="E39" i="11"/>
  <c r="F39" i="11"/>
  <c r="F40" i="11"/>
  <c r="E37" i="11"/>
  <c r="F37" i="11"/>
  <c r="F38" i="11"/>
  <c r="G46" i="15" l="1"/>
  <c r="H67" i="15" s="1"/>
  <c r="W67" i="15" l="1"/>
  <c r="U67" i="15"/>
  <c r="T67" i="15"/>
  <c r="H54" i="15"/>
  <c r="M46" i="15"/>
  <c r="L46" i="15"/>
  <c r="K46" i="15"/>
  <c r="C44" i="15"/>
  <c r="C37" i="15"/>
  <c r="C31" i="15"/>
  <c r="L12" i="15"/>
  <c r="K12" i="15"/>
  <c r="J12" i="15"/>
  <c r="I12" i="15"/>
  <c r="N6" i="15"/>
  <c r="C42" i="11"/>
  <c r="F30" i="9" l="1"/>
  <c r="C36" i="15" s="1"/>
  <c r="C35" i="15" s="1"/>
  <c r="F23" i="9" l="1"/>
  <c r="E23" i="9" l="1"/>
  <c r="E22" i="9"/>
  <c r="C22" i="15" l="1"/>
  <c r="F19" i="9"/>
  <c r="C26" i="15" s="1"/>
  <c r="F711" i="9"/>
  <c r="I270" i="9" l="1"/>
  <c r="F91" i="9" s="1"/>
  <c r="C46" i="15" s="1"/>
  <c r="AH54" i="11"/>
  <c r="AI54" i="11"/>
  <c r="AJ54" i="11"/>
  <c r="AK54" i="11"/>
  <c r="AL54" i="11"/>
  <c r="AM54" i="11"/>
  <c r="AN54" i="11"/>
  <c r="AO54" i="11"/>
  <c r="AP54" i="11"/>
  <c r="AQ54" i="11"/>
  <c r="AG55" i="11"/>
  <c r="AH55" i="11"/>
  <c r="AI55" i="11"/>
  <c r="AJ55" i="11"/>
  <c r="AK55" i="11"/>
  <c r="AL55" i="11"/>
  <c r="AM55" i="11"/>
  <c r="AN55" i="11"/>
  <c r="AO55" i="11"/>
  <c r="AP55" i="11"/>
  <c r="AQ55" i="11"/>
  <c r="U54" i="11"/>
  <c r="V54" i="11"/>
  <c r="W54" i="11"/>
  <c r="Y54" i="11"/>
  <c r="Z54" i="11"/>
  <c r="AB54" i="11"/>
  <c r="AC54" i="11"/>
  <c r="AD54" i="11"/>
  <c r="AE54" i="11"/>
  <c r="U55" i="11"/>
  <c r="V55" i="11"/>
  <c r="W55" i="11"/>
  <c r="Y55" i="11"/>
  <c r="Z55" i="11"/>
  <c r="AB55" i="11"/>
  <c r="AC55" i="11"/>
  <c r="AD55" i="11"/>
  <c r="AE55" i="11"/>
  <c r="J54" i="11"/>
  <c r="K54" i="11"/>
  <c r="L54" i="11"/>
  <c r="N54" i="11"/>
  <c r="O54" i="11"/>
  <c r="Q54" i="11"/>
  <c r="R54" i="11"/>
  <c r="S54" i="11"/>
  <c r="J55" i="11"/>
  <c r="K55" i="11"/>
  <c r="L55" i="11"/>
  <c r="N55" i="11"/>
  <c r="O55" i="11"/>
  <c r="Q55" i="11"/>
  <c r="R55" i="11"/>
  <c r="AG37" i="11"/>
  <c r="AH37" i="11"/>
  <c r="AI37" i="11"/>
  <c r="AJ37" i="11"/>
  <c r="AK37" i="11"/>
  <c r="AL37" i="11"/>
  <c r="AM37" i="11"/>
  <c r="AN37" i="11"/>
  <c r="AO37" i="11"/>
  <c r="AP37" i="11"/>
  <c r="AQ37" i="11"/>
  <c r="AG38" i="11"/>
  <c r="AH38" i="11"/>
  <c r="AI38" i="11"/>
  <c r="AJ38" i="11"/>
  <c r="AK38" i="11"/>
  <c r="AL38" i="11"/>
  <c r="AM38" i="11"/>
  <c r="AN38" i="11"/>
  <c r="AO38" i="11"/>
  <c r="AP38" i="11"/>
  <c r="AQ38" i="11"/>
  <c r="AF38" i="11"/>
  <c r="AF37" i="11"/>
  <c r="AG39" i="11"/>
  <c r="AH39" i="11"/>
  <c r="AI39" i="11"/>
  <c r="AJ39" i="11"/>
  <c r="AK39" i="11"/>
  <c r="AL39" i="11"/>
  <c r="AM39" i="11"/>
  <c r="AN39" i="11"/>
  <c r="AO39" i="11"/>
  <c r="AP39" i="11"/>
  <c r="AQ39" i="11"/>
  <c r="AG40" i="11"/>
  <c r="AH40" i="11"/>
  <c r="AI40" i="11"/>
  <c r="AJ40" i="11"/>
  <c r="AK40" i="11"/>
  <c r="AL40" i="11"/>
  <c r="AM40" i="11"/>
  <c r="AN40" i="11"/>
  <c r="AO40" i="11"/>
  <c r="AP40" i="11"/>
  <c r="AQ40" i="11"/>
  <c r="U39" i="11"/>
  <c r="V39" i="11"/>
  <c r="W39" i="11"/>
  <c r="X39" i="11"/>
  <c r="Y39" i="11"/>
  <c r="Z39" i="11"/>
  <c r="AA39" i="11"/>
  <c r="AB39" i="11"/>
  <c r="AC39" i="11"/>
  <c r="AD39" i="11"/>
  <c r="AE39" i="11"/>
  <c r="U40" i="11"/>
  <c r="V40" i="11"/>
  <c r="W40" i="11"/>
  <c r="X40" i="11"/>
  <c r="Y40" i="11"/>
  <c r="Z40" i="11"/>
  <c r="AA40" i="11"/>
  <c r="AB40" i="11"/>
  <c r="AC40" i="11"/>
  <c r="AD40" i="11"/>
  <c r="AE40" i="11"/>
  <c r="AF40" i="11"/>
  <c r="T40" i="11"/>
  <c r="AF39" i="11"/>
  <c r="T39" i="11"/>
  <c r="U38" i="11"/>
  <c r="V38" i="11"/>
  <c r="W38" i="11"/>
  <c r="X38" i="11"/>
  <c r="Y38" i="11"/>
  <c r="Z38" i="11"/>
  <c r="AA38" i="11"/>
  <c r="AB38" i="11"/>
  <c r="AC38" i="11"/>
  <c r="AD38" i="11"/>
  <c r="AE38" i="11"/>
  <c r="T38" i="11"/>
  <c r="U37" i="11"/>
  <c r="V37" i="11"/>
  <c r="W37" i="11"/>
  <c r="X37" i="11"/>
  <c r="Y37" i="11"/>
  <c r="Z37" i="11"/>
  <c r="AA37" i="11"/>
  <c r="AB37" i="11"/>
  <c r="AC37" i="11"/>
  <c r="AD37" i="11"/>
  <c r="AE37" i="11"/>
  <c r="T37" i="11"/>
  <c r="L39" i="11"/>
  <c r="M39" i="11"/>
  <c r="N39" i="11"/>
  <c r="O39" i="11"/>
  <c r="P39" i="11"/>
  <c r="Q39" i="11"/>
  <c r="R39" i="11"/>
  <c r="S39" i="11"/>
  <c r="L40" i="11"/>
  <c r="M40" i="11"/>
  <c r="N40" i="11"/>
  <c r="O40" i="11"/>
  <c r="P40" i="11"/>
  <c r="Q40" i="11"/>
  <c r="R40" i="11"/>
  <c r="S40" i="11"/>
  <c r="L38" i="11"/>
  <c r="M38" i="11"/>
  <c r="N38" i="11"/>
  <c r="O38" i="11"/>
  <c r="P38" i="11"/>
  <c r="Q38" i="11"/>
  <c r="R38" i="11"/>
  <c r="S38" i="11"/>
  <c r="L37" i="11"/>
  <c r="M37" i="11"/>
  <c r="N37" i="11"/>
  <c r="O37" i="11"/>
  <c r="P37" i="11"/>
  <c r="Q37" i="11"/>
  <c r="R37" i="11"/>
  <c r="S37" i="11"/>
  <c r="G40" i="11"/>
  <c r="C34" i="13" l="1"/>
  <c r="C33" i="13"/>
  <c r="C30" i="13" s="1"/>
  <c r="F114" i="9" l="1"/>
  <c r="F116" i="9" l="1"/>
  <c r="M12" i="15" s="1"/>
  <c r="F111" i="9"/>
  <c r="F106" i="9"/>
  <c r="F80" i="9"/>
  <c r="O8" i="15" s="1"/>
  <c r="F76" i="9"/>
  <c r="F66" i="9"/>
  <c r="F65" i="9"/>
  <c r="F48" i="9"/>
  <c r="F38" i="9"/>
  <c r="F32" i="9"/>
  <c r="F35" i="9" s="1"/>
  <c r="F33" i="9"/>
  <c r="F36" i="9" s="1"/>
  <c r="F25" i="9"/>
  <c r="F12" i="9" s="1"/>
  <c r="F11" i="9" s="1"/>
  <c r="I302" i="9"/>
  <c r="I303" i="9"/>
  <c r="I296" i="9"/>
  <c r="I291" i="9"/>
  <c r="I286" i="9"/>
  <c r="I281" i="9"/>
  <c r="H270" i="9"/>
  <c r="E91" i="9" s="1"/>
  <c r="I276" i="9"/>
  <c r="F34" i="9" l="1"/>
  <c r="F150" i="9"/>
  <c r="Z41" i="16" s="1"/>
  <c r="I292" i="9"/>
  <c r="I279" i="9"/>
  <c r="I287" i="9"/>
  <c r="I283" i="9"/>
  <c r="I297" i="9"/>
  <c r="I294" i="9"/>
  <c r="I299" i="9"/>
  <c r="I289" i="9"/>
  <c r="F64" i="9"/>
  <c r="I278" i="9"/>
  <c r="I282" i="9"/>
  <c r="I277" i="9"/>
  <c r="I293" i="9"/>
  <c r="I298" i="9"/>
  <c r="I288" i="9"/>
  <c r="I284" i="9"/>
  <c r="F31" i="9"/>
  <c r="I275" i="9" l="1"/>
  <c r="F93" i="9" s="1"/>
  <c r="F136" i="9"/>
  <c r="F137" i="9" s="1"/>
  <c r="H280" i="9"/>
  <c r="E95" i="9" s="1"/>
  <c r="F72" i="9"/>
  <c r="F69" i="9" s="1"/>
  <c r="H295" i="9"/>
  <c r="I290" i="9"/>
  <c r="F98" i="9" s="1"/>
  <c r="I280" i="9"/>
  <c r="F95" i="9" s="1"/>
  <c r="H285" i="9"/>
  <c r="E94" i="9" s="1"/>
  <c r="H275" i="9"/>
  <c r="E93" i="9" s="1"/>
  <c r="I285" i="9"/>
  <c r="F94" i="9" s="1"/>
  <c r="I295" i="9"/>
  <c r="F99" i="9" s="1"/>
  <c r="G94" i="9" l="1"/>
  <c r="G95" i="9"/>
  <c r="G93" i="9"/>
  <c r="E90" i="9"/>
  <c r="K167" i="9"/>
  <c r="M167" i="9"/>
  <c r="E46" i="15"/>
  <c r="F67" i="15" s="1"/>
  <c r="F46" i="15"/>
  <c r="G67" i="15" s="1"/>
  <c r="I46" i="15"/>
  <c r="G167" i="9"/>
  <c r="I167" i="9"/>
  <c r="E167" i="9"/>
  <c r="H46" i="15"/>
  <c r="F90" i="9"/>
  <c r="D46" i="15"/>
  <c r="F698" i="9"/>
  <c r="K136" i="9"/>
  <c r="L136" i="9" s="1"/>
  <c r="K137" i="9"/>
  <c r="L137" i="9" s="1"/>
  <c r="F702" i="9"/>
  <c r="F71" i="9"/>
  <c r="F68" i="9" s="1"/>
  <c r="F138" i="9"/>
  <c r="E99" i="9"/>
  <c r="F18" i="9"/>
  <c r="C25" i="15" s="1"/>
  <c r="G90" i="9" l="1"/>
  <c r="E124" i="9"/>
  <c r="E125" i="9"/>
  <c r="E120" i="9"/>
  <c r="G99" i="9"/>
  <c r="G163" i="9"/>
  <c r="M163" i="9"/>
  <c r="M166" i="9" s="1"/>
  <c r="M165" i="9" s="1"/>
  <c r="I163" i="9"/>
  <c r="I166" i="9" s="1"/>
  <c r="I165" i="9" s="1"/>
  <c r="E163" i="9"/>
  <c r="K163" i="9"/>
  <c r="K166" i="9" s="1"/>
  <c r="K165" i="9" s="1"/>
  <c r="F17" i="9"/>
  <c r="C24" i="15" s="1"/>
  <c r="K138" i="9"/>
  <c r="L138" i="9" s="1"/>
  <c r="F700" i="9"/>
  <c r="F139" i="9"/>
  <c r="F647" i="9"/>
  <c r="F648" i="9"/>
  <c r="F649" i="9"/>
  <c r="F650" i="9"/>
  <c r="F651" i="9"/>
  <c r="F652" i="9"/>
  <c r="F653" i="9"/>
  <c r="F654" i="9"/>
  <c r="F655" i="9"/>
  <c r="F656" i="9"/>
  <c r="F657" i="9"/>
  <c r="F658" i="9"/>
  <c r="E647" i="9"/>
  <c r="E648" i="9"/>
  <c r="E649" i="9"/>
  <c r="E650" i="9"/>
  <c r="E651" i="9"/>
  <c r="E652" i="9"/>
  <c r="E653" i="9"/>
  <c r="E654" i="9"/>
  <c r="E655" i="9"/>
  <c r="E656" i="9"/>
  <c r="E657" i="9"/>
  <c r="E658" i="9"/>
  <c r="E644" i="9" l="1"/>
  <c r="E646" i="9"/>
  <c r="E643" i="9"/>
  <c r="E642" i="9"/>
  <c r="E645" i="9"/>
  <c r="E166" i="9"/>
  <c r="E165" i="9" s="1"/>
  <c r="E668" i="9"/>
  <c r="E121" i="9"/>
  <c r="E127" i="9"/>
  <c r="E86" i="9" s="1"/>
  <c r="E87" i="9" s="1"/>
  <c r="I120" i="9"/>
  <c r="E123" i="9"/>
  <c r="E673" i="9"/>
  <c r="I125" i="9"/>
  <c r="J125" i="9" s="1"/>
  <c r="E672" i="9"/>
  <c r="I124" i="9"/>
  <c r="J124" i="9" s="1"/>
  <c r="G166" i="9"/>
  <c r="G165" i="9" s="1"/>
  <c r="K139" i="9"/>
  <c r="L139" i="9" s="1"/>
  <c r="F701" i="9"/>
  <c r="F140" i="9"/>
  <c r="F646" i="9"/>
  <c r="F644" i="9"/>
  <c r="F645" i="9"/>
  <c r="F643" i="9"/>
  <c r="F642" i="9"/>
  <c r="C32" i="15"/>
  <c r="J120" i="9" l="1"/>
  <c r="E676" i="9"/>
  <c r="E719" i="9" s="1"/>
  <c r="I127" i="9"/>
  <c r="J127" i="9" s="1"/>
  <c r="E180" i="9"/>
  <c r="I121" i="9"/>
  <c r="J121" i="9" s="1"/>
  <c r="E669" i="9"/>
  <c r="E667" i="9" s="1"/>
  <c r="I123" i="9"/>
  <c r="J123" i="9" s="1"/>
  <c r="E708" i="9"/>
  <c r="K140" i="9"/>
  <c r="L140" i="9" s="1"/>
  <c r="F699" i="9"/>
  <c r="F697" i="9" s="1"/>
  <c r="F190" i="9" l="1"/>
  <c r="Q67" i="15"/>
  <c r="E190" i="9" l="1"/>
  <c r="E191" i="9" s="1"/>
  <c r="F201" i="9"/>
  <c r="D67" i="15"/>
  <c r="O6" i="15" l="1"/>
  <c r="I11" i="15" l="1"/>
  <c r="C9" i="15" s="1"/>
  <c r="M136" i="9" l="1"/>
  <c r="N136" i="9"/>
  <c r="I10" i="15"/>
  <c r="R67" i="15"/>
  <c r="O12" i="15"/>
  <c r="O9" i="15" l="1"/>
  <c r="L13" i="15"/>
  <c r="P66" i="15" s="1"/>
  <c r="I13" i="15"/>
  <c r="K13" i="15"/>
  <c r="O10" i="15"/>
  <c r="M13" i="15"/>
  <c r="R66" i="15" s="1"/>
  <c r="R68" i="15" s="1"/>
  <c r="J13" i="15"/>
  <c r="L43" i="15" s="1"/>
  <c r="C43" i="15" l="1"/>
  <c r="M137" i="9"/>
  <c r="N137" i="9"/>
  <c r="M138" i="9"/>
  <c r="O13" i="15"/>
  <c r="J66" i="15"/>
  <c r="O7" i="15"/>
  <c r="N138" i="9" l="1"/>
  <c r="N139" i="9" l="1"/>
  <c r="M139" i="9"/>
  <c r="M140" i="9"/>
  <c r="N140" i="9"/>
  <c r="H290" i="9"/>
  <c r="E98" i="9" s="1"/>
  <c r="N54" i="15"/>
  <c r="H44" i="15"/>
  <c r="H45" i="15" s="1"/>
  <c r="N67" i="15"/>
  <c r="L67" i="15"/>
  <c r="J67" i="15"/>
  <c r="G98" i="9" l="1"/>
  <c r="E17" i="9"/>
  <c r="E18" i="9"/>
  <c r="C41" i="11"/>
  <c r="K67" i="15"/>
  <c r="C44" i="11" l="1"/>
  <c r="C45" i="11"/>
  <c r="P67" i="15" l="1"/>
  <c r="N66" i="15" l="1"/>
  <c r="N68" i="15" s="1"/>
  <c r="P68" i="15"/>
  <c r="L66" i="15" l="1"/>
  <c r="L68" i="15" s="1"/>
  <c r="J68" i="15"/>
  <c r="C67" i="15" l="1"/>
  <c r="C45" i="15"/>
  <c r="N43" i="15"/>
  <c r="L45" i="15"/>
  <c r="E67" i="15"/>
  <c r="C47" i="15" l="1"/>
  <c r="N45" i="15"/>
  <c r="I67" i="15"/>
  <c r="M67" i="15"/>
  <c r="G48" i="15" l="1"/>
  <c r="G50" i="15" s="1"/>
  <c r="G52" i="15" s="1"/>
  <c r="G53" i="15" s="1"/>
  <c r="E48" i="15"/>
  <c r="E50" i="15" s="1"/>
  <c r="G49" i="15"/>
  <c r="G51" i="15" s="1"/>
  <c r="F49" i="15"/>
  <c r="F51" i="15" s="1"/>
  <c r="F48" i="15"/>
  <c r="F50" i="15" s="1"/>
  <c r="F52" i="15" s="1"/>
  <c r="C49" i="15"/>
  <c r="C51" i="15" s="1"/>
  <c r="E49" i="15"/>
  <c r="E51" i="15" s="1"/>
  <c r="D49" i="15"/>
  <c r="D51" i="15" s="1"/>
  <c r="C48" i="15"/>
  <c r="D48" i="15"/>
  <c r="D50" i="15" s="1"/>
  <c r="D52" i="15" s="1"/>
  <c r="F57" i="15" l="1"/>
  <c r="F58" i="15" s="1"/>
  <c r="G66" i="15" s="1"/>
  <c r="G57" i="15"/>
  <c r="G58" i="15" s="1"/>
  <c r="G59" i="15" s="1"/>
  <c r="D53" i="15"/>
  <c r="D57" i="15"/>
  <c r="D58" i="15" s="1"/>
  <c r="D59" i="15" s="1"/>
  <c r="C50" i="15"/>
  <c r="C52" i="15" s="1"/>
  <c r="C53" i="15" s="1"/>
  <c r="E52" i="15"/>
  <c r="F53" i="15"/>
  <c r="C57" i="15" l="1"/>
  <c r="C58" i="15" s="1"/>
  <c r="C59" i="15" s="1"/>
  <c r="E57" i="15"/>
  <c r="E58" i="15" s="1"/>
  <c r="E59" i="15" s="1"/>
  <c r="H66" i="15"/>
  <c r="H68" i="15" s="1"/>
  <c r="W44" i="11"/>
  <c r="AE44" i="11"/>
  <c r="AC44" i="11"/>
  <c r="S44" i="11"/>
  <c r="AO44" i="11"/>
  <c r="O44" i="11"/>
  <c r="V44" i="11"/>
  <c r="K44" i="11"/>
  <c r="Y44" i="11"/>
  <c r="G44" i="11"/>
  <c r="P44" i="11"/>
  <c r="AK44" i="11"/>
  <c r="U44" i="11"/>
  <c r="I44" i="11"/>
  <c r="J44" i="11"/>
  <c r="AA44" i="11"/>
  <c r="AB44" i="11"/>
  <c r="L44" i="11"/>
  <c r="N44" i="11"/>
  <c r="AH44" i="11"/>
  <c r="AF44" i="11"/>
  <c r="D44" i="11"/>
  <c r="AN44" i="11"/>
  <c r="R44" i="11"/>
  <c r="X44" i="11"/>
  <c r="AL44" i="11"/>
  <c r="AI44" i="11"/>
  <c r="AJ44" i="11"/>
  <c r="H44" i="11"/>
  <c r="E480" i="9" s="1" a="1"/>
  <c r="E480" i="9" s="1"/>
  <c r="E44" i="11"/>
  <c r="F44" i="11"/>
  <c r="M44" i="11"/>
  <c r="AP44" i="11"/>
  <c r="AG44" i="11"/>
  <c r="AM44" i="11"/>
  <c r="AD44" i="11"/>
  <c r="AQ44" i="11"/>
  <c r="Z44" i="11"/>
  <c r="Q44" i="11"/>
  <c r="T44" i="11"/>
  <c r="E66" i="15"/>
  <c r="E68" i="15" s="1"/>
  <c r="F59" i="15"/>
  <c r="G68" i="15"/>
  <c r="K45" i="11"/>
  <c r="AN41" i="11"/>
  <c r="S41" i="11"/>
  <c r="AM41" i="11"/>
  <c r="Z41" i="11"/>
  <c r="P41" i="11"/>
  <c r="AA41" i="11"/>
  <c r="W41" i="11"/>
  <c r="AO41" i="11"/>
  <c r="AH41" i="11"/>
  <c r="D41" i="11"/>
  <c r="Y41" i="11"/>
  <c r="E41" i="11"/>
  <c r="K41" i="11"/>
  <c r="AI41" i="11"/>
  <c r="AE41" i="11"/>
  <c r="M41" i="11"/>
  <c r="AC41" i="11"/>
  <c r="AQ41" i="11"/>
  <c r="F41" i="11"/>
  <c r="F45" i="11"/>
  <c r="R45" i="11"/>
  <c r="E53" i="15"/>
  <c r="AH45" i="11"/>
  <c r="Q45" i="11"/>
  <c r="AD45" i="11"/>
  <c r="AN45" i="11"/>
  <c r="Y45" i="11"/>
  <c r="H45" i="11"/>
  <c r="N45" i="11"/>
  <c r="M45" i="11"/>
  <c r="AB45" i="11"/>
  <c r="AM45" i="11"/>
  <c r="S45" i="11"/>
  <c r="J45" i="11"/>
  <c r="AL45" i="11"/>
  <c r="T45" i="11"/>
  <c r="AE45" i="11"/>
  <c r="AQ45" i="11"/>
  <c r="L45" i="11"/>
  <c r="AC45" i="11"/>
  <c r="AF45" i="11"/>
  <c r="O45" i="11"/>
  <c r="I45" i="11"/>
  <c r="AK45" i="11"/>
  <c r="U45" i="11"/>
  <c r="X45" i="11"/>
  <c r="W45" i="11"/>
  <c r="E45" i="11"/>
  <c r="AP45" i="11"/>
  <c r="P45" i="11"/>
  <c r="AO45" i="11"/>
  <c r="G45" i="11"/>
  <c r="D45" i="11"/>
  <c r="AI45" i="11"/>
  <c r="Z45" i="11"/>
  <c r="V45" i="11"/>
  <c r="AG45" i="11"/>
  <c r="AJ45" i="11"/>
  <c r="AA45" i="11"/>
  <c r="E506" i="9" l="1" a="1"/>
  <c r="E506" i="9" s="1"/>
  <c r="E461" i="9" a="1"/>
  <c r="E461" i="9" s="1"/>
  <c r="E430" i="9" a="1"/>
  <c r="E430" i="9" s="1"/>
  <c r="E448" i="9" a="1"/>
  <c r="E448" i="9" s="1"/>
  <c r="E493" i="9" a="1"/>
  <c r="E493" i="9" s="1"/>
  <c r="E435" i="9" a="1"/>
  <c r="E435" i="9" s="1"/>
  <c r="E475" i="9" a="1"/>
  <c r="E475" i="9" s="1"/>
  <c r="F66" i="15"/>
  <c r="F68" i="15" s="1"/>
  <c r="G41" i="11"/>
  <c r="E340" i="9" s="1" a="1"/>
  <c r="E340" i="9" s="1"/>
  <c r="J41" i="11"/>
  <c r="AP41" i="11"/>
  <c r="U41" i="11"/>
  <c r="AF41" i="11"/>
  <c r="V41" i="11"/>
  <c r="T41" i="11"/>
  <c r="AL41" i="11"/>
  <c r="H41" i="11"/>
  <c r="AB41" i="11"/>
  <c r="L41" i="11"/>
  <c r="I41" i="11"/>
  <c r="AD41" i="11"/>
  <c r="AK41" i="11"/>
  <c r="N41" i="11"/>
  <c r="Q41" i="11"/>
  <c r="O41" i="11"/>
  <c r="AJ41" i="11"/>
  <c r="X41" i="11"/>
  <c r="AG41" i="11"/>
  <c r="R41" i="11"/>
  <c r="C66" i="15"/>
  <c r="C68" i="15" s="1"/>
  <c r="E687" i="9" l="1" a="1"/>
  <c r="E687" i="9" s="1"/>
  <c r="E712" i="9" s="1"/>
  <c r="E688" i="9" a="1"/>
  <c r="E688" i="9" s="1"/>
  <c r="E713" i="9" s="1"/>
  <c r="E371" i="9" a="1"/>
  <c r="E371" i="9" s="1"/>
  <c r="E358" i="9" a="1"/>
  <c r="E358" i="9" s="1"/>
  <c r="E345" i="9" a="1"/>
  <c r="E345" i="9" s="1"/>
  <c r="F124" i="9"/>
  <c r="F125" i="9"/>
  <c r="F120" i="9"/>
  <c r="H120" i="9" l="1"/>
  <c r="G120" i="9"/>
  <c r="H125" i="9"/>
  <c r="G125" i="9"/>
  <c r="H124" i="9"/>
  <c r="G124" i="9"/>
  <c r="F673" i="9"/>
  <c r="C43" i="11"/>
  <c r="F672" i="9"/>
  <c r="I156" i="9"/>
  <c r="M156" i="9"/>
  <c r="E156" i="9"/>
  <c r="K156" i="9"/>
  <c r="G156" i="9"/>
  <c r="I159" i="9"/>
  <c r="F121" i="9"/>
  <c r="F668" i="9"/>
  <c r="K120" i="9"/>
  <c r="K125" i="9"/>
  <c r="K124" i="9"/>
  <c r="C62" i="11"/>
  <c r="AH62" i="11" s="1"/>
  <c r="AH76" i="11" s="1"/>
  <c r="C58" i="11"/>
  <c r="C61" i="11"/>
  <c r="F123" i="9"/>
  <c r="H123" i="9" l="1"/>
  <c r="G123" i="9"/>
  <c r="G121" i="9"/>
  <c r="H121" i="9"/>
  <c r="O6" i="16"/>
  <c r="O6" i="18" s="1"/>
  <c r="AG43" i="11"/>
  <c r="R43" i="11"/>
  <c r="W43" i="11"/>
  <c r="E43" i="11"/>
  <c r="Q43" i="11"/>
  <c r="X43" i="11"/>
  <c r="D43" i="11"/>
  <c r="S43" i="11"/>
  <c r="I43" i="11"/>
  <c r="AK43" i="11"/>
  <c r="P43" i="11"/>
  <c r="O43" i="11"/>
  <c r="Z43" i="11"/>
  <c r="AA43" i="11"/>
  <c r="G43" i="11"/>
  <c r="N43" i="11"/>
  <c r="M43" i="11"/>
  <c r="AF43" i="11"/>
  <c r="AO43" i="11"/>
  <c r="J43" i="11"/>
  <c r="V43" i="11"/>
  <c r="AC43" i="11"/>
  <c r="AL43" i="11"/>
  <c r="AI43" i="11"/>
  <c r="AQ43" i="11"/>
  <c r="H43" i="11"/>
  <c r="L43" i="11"/>
  <c r="U43" i="11"/>
  <c r="AB43" i="11"/>
  <c r="AH43" i="11"/>
  <c r="K43" i="11"/>
  <c r="AJ43" i="11"/>
  <c r="AM43" i="11"/>
  <c r="AN43" i="11"/>
  <c r="AE43" i="11"/>
  <c r="AD43" i="11"/>
  <c r="AP43" i="11"/>
  <c r="F43" i="11"/>
  <c r="Y43" i="11"/>
  <c r="T43" i="11"/>
  <c r="K159" i="9"/>
  <c r="M159" i="9"/>
  <c r="F708" i="9"/>
  <c r="C6" i="16"/>
  <c r="C6" i="18" s="1"/>
  <c r="J61" i="11"/>
  <c r="J75" i="11" s="1"/>
  <c r="L6" i="16"/>
  <c r="L6" i="18" s="1"/>
  <c r="U58" i="11"/>
  <c r="U72" i="11" s="1"/>
  <c r="K121" i="9"/>
  <c r="M121" i="9" s="1"/>
  <c r="K123" i="9"/>
  <c r="F669" i="9"/>
  <c r="AG58" i="11"/>
  <c r="AG72" i="11" s="1"/>
  <c r="G62" i="11"/>
  <c r="G76" i="11" s="1"/>
  <c r="W62" i="11"/>
  <c r="W76" i="11" s="1"/>
  <c r="AD62" i="11"/>
  <c r="AD76" i="11" s="1"/>
  <c r="AA61" i="11"/>
  <c r="AA75" i="11" s="1"/>
  <c r="N62" i="11"/>
  <c r="N76" i="11" s="1"/>
  <c r="N124" i="9"/>
  <c r="M124" i="9"/>
  <c r="L124" i="9"/>
  <c r="AE62" i="11"/>
  <c r="AE76" i="11" s="1"/>
  <c r="M62" i="11"/>
  <c r="M76" i="11" s="1"/>
  <c r="Z62" i="11"/>
  <c r="Z76" i="11" s="1"/>
  <c r="X62" i="11"/>
  <c r="X76" i="11" s="1"/>
  <c r="C76" i="11"/>
  <c r="H62" i="11"/>
  <c r="AC62" i="11"/>
  <c r="AC76" i="11" s="1"/>
  <c r="J62" i="11"/>
  <c r="J76" i="11" s="1"/>
  <c r="I62" i="11"/>
  <c r="I76" i="11" s="1"/>
  <c r="AO62" i="11"/>
  <c r="AO76" i="11" s="1"/>
  <c r="M120" i="9"/>
  <c r="L120" i="9"/>
  <c r="AF62" i="11"/>
  <c r="P62" i="11"/>
  <c r="P76" i="11" s="1"/>
  <c r="R6" i="16"/>
  <c r="U6" i="16" s="1"/>
  <c r="U6" i="18" s="1"/>
  <c r="AJ62" i="11"/>
  <c r="AJ76" i="11" s="1"/>
  <c r="S62" i="11"/>
  <c r="S76" i="11" s="1"/>
  <c r="L125" i="9"/>
  <c r="M125" i="9"/>
  <c r="N125" i="9"/>
  <c r="Y62" i="11"/>
  <c r="Y76" i="11" s="1"/>
  <c r="R62" i="11"/>
  <c r="R76" i="11" s="1"/>
  <c r="AA62" i="11"/>
  <c r="AA76" i="11" s="1"/>
  <c r="L62" i="11"/>
  <c r="L76" i="11" s="1"/>
  <c r="AI62" i="11"/>
  <c r="AI76" i="11" s="1"/>
  <c r="F62" i="11"/>
  <c r="F76" i="11" s="1"/>
  <c r="D62" i="11"/>
  <c r="W58" i="11"/>
  <c r="W72" i="11" s="1"/>
  <c r="AH58" i="11"/>
  <c r="AH72" i="11" s="1"/>
  <c r="L58" i="11"/>
  <c r="L72" i="11" s="1"/>
  <c r="AI58" i="11"/>
  <c r="AI72" i="11" s="1"/>
  <c r="AE58" i="11"/>
  <c r="AE72" i="11" s="1"/>
  <c r="AH61" i="11"/>
  <c r="AH75" i="11" s="1"/>
  <c r="F61" i="11"/>
  <c r="L11" i="16" s="1"/>
  <c r="L11" i="18" s="1"/>
  <c r="AM58" i="11"/>
  <c r="AM72" i="11" s="1"/>
  <c r="E58" i="11"/>
  <c r="AO58" i="11"/>
  <c r="AO72" i="11" s="1"/>
  <c r="D58" i="11"/>
  <c r="P61" i="11"/>
  <c r="P75" i="11" s="1"/>
  <c r="AM61" i="11"/>
  <c r="AM75" i="11" s="1"/>
  <c r="AK61" i="11"/>
  <c r="AK75" i="11" s="1"/>
  <c r="AJ58" i="11"/>
  <c r="AJ72" i="11" s="1"/>
  <c r="H58" i="11"/>
  <c r="AF58" i="11"/>
  <c r="AG61" i="11"/>
  <c r="AG75" i="11" s="1"/>
  <c r="E62" i="11"/>
  <c r="T62" i="11"/>
  <c r="AG62" i="11"/>
  <c r="AG76" i="11" s="1"/>
  <c r="U62" i="11"/>
  <c r="U76" i="11" s="1"/>
  <c r="AB62" i="11"/>
  <c r="AB76" i="11" s="1"/>
  <c r="C72" i="11"/>
  <c r="Q58" i="11"/>
  <c r="Q72" i="11" s="1"/>
  <c r="AC58" i="11"/>
  <c r="AC72" i="11" s="1"/>
  <c r="K58" i="11"/>
  <c r="K72" i="11" s="1"/>
  <c r="AN62" i="11"/>
  <c r="AN76" i="11" s="1"/>
  <c r="Z58" i="11"/>
  <c r="Z72" i="11" s="1"/>
  <c r="N58" i="11"/>
  <c r="N72" i="11" s="1"/>
  <c r="R58" i="11"/>
  <c r="R72" i="11" s="1"/>
  <c r="F58" i="11"/>
  <c r="C11" i="16" s="1"/>
  <c r="C11" i="18" s="1"/>
  <c r="C75" i="11"/>
  <c r="K62" i="11"/>
  <c r="K76" i="11" s="1"/>
  <c r="AQ62" i="11"/>
  <c r="AQ76" i="11" s="1"/>
  <c r="AL62" i="11"/>
  <c r="AL76" i="11" s="1"/>
  <c r="AM62" i="11"/>
  <c r="AM76" i="11" s="1"/>
  <c r="V58" i="11"/>
  <c r="V72" i="11" s="1"/>
  <c r="P58" i="11"/>
  <c r="P72" i="11" s="1"/>
  <c r="AB58" i="11"/>
  <c r="AB72" i="11" s="1"/>
  <c r="J58" i="11"/>
  <c r="J72" i="11" s="1"/>
  <c r="X61" i="11"/>
  <c r="X75" i="11" s="1"/>
  <c r="AK62" i="11"/>
  <c r="AK76" i="11" s="1"/>
  <c r="AI61" i="11"/>
  <c r="AI75" i="11" s="1"/>
  <c r="T61" i="11"/>
  <c r="V62" i="11"/>
  <c r="V76" i="11" s="1"/>
  <c r="O62" i="11"/>
  <c r="O76" i="11" s="1"/>
  <c r="AP62" i="11"/>
  <c r="AP76" i="11" s="1"/>
  <c r="Q62" i="11"/>
  <c r="Q76" i="11" s="1"/>
  <c r="Y58" i="11"/>
  <c r="Y72" i="11" s="1"/>
  <c r="AP58" i="11"/>
  <c r="AP72" i="11" s="1"/>
  <c r="I58" i="11"/>
  <c r="I72" i="11" s="1"/>
  <c r="T58" i="11"/>
  <c r="AN58" i="11"/>
  <c r="AN72" i="11" s="1"/>
  <c r="S58" i="11"/>
  <c r="S72" i="11" s="1"/>
  <c r="AL58" i="11"/>
  <c r="AL72" i="11" s="1"/>
  <c r="G58" i="11"/>
  <c r="C12" i="16" s="1"/>
  <c r="C12" i="18" s="1"/>
  <c r="AK58" i="11"/>
  <c r="AK72" i="11" s="1"/>
  <c r="X58" i="11"/>
  <c r="X72" i="11" s="1"/>
  <c r="AQ58" i="11"/>
  <c r="AQ72" i="11" s="1"/>
  <c r="O58" i="11"/>
  <c r="O72" i="11" s="1"/>
  <c r="AD58" i="11"/>
  <c r="AD72" i="11" s="1"/>
  <c r="AA58" i="11"/>
  <c r="AA72" i="11" s="1"/>
  <c r="M58" i="11"/>
  <c r="M72" i="11" s="1"/>
  <c r="D61" i="11"/>
  <c r="R61" i="11"/>
  <c r="R75" i="11" s="1"/>
  <c r="AQ61" i="11"/>
  <c r="AQ75" i="11" s="1"/>
  <c r="S61" i="11"/>
  <c r="S75" i="11" s="1"/>
  <c r="I61" i="11"/>
  <c r="I75" i="11" s="1"/>
  <c r="L61" i="11"/>
  <c r="L75" i="11" s="1"/>
  <c r="K61" i="11"/>
  <c r="K75" i="11" s="1"/>
  <c r="U61" i="11"/>
  <c r="U75" i="11" s="1"/>
  <c r="AO61" i="11"/>
  <c r="AO75" i="11" s="1"/>
  <c r="C60" i="11"/>
  <c r="Q61" i="11"/>
  <c r="Q75" i="11" s="1"/>
  <c r="O61" i="11"/>
  <c r="O75" i="11" s="1"/>
  <c r="E61" i="11"/>
  <c r="L10" i="16" s="1"/>
  <c r="L10" i="18" s="1"/>
  <c r="AD61" i="11"/>
  <c r="AD75" i="11" s="1"/>
  <c r="W61" i="11"/>
  <c r="W75" i="11" s="1"/>
  <c r="AB61" i="11"/>
  <c r="AB75" i="11" s="1"/>
  <c r="G61" i="11"/>
  <c r="L12" i="16" s="1"/>
  <c r="L12" i="18" s="1"/>
  <c r="AL61" i="11"/>
  <c r="AL75" i="11" s="1"/>
  <c r="N61" i="11"/>
  <c r="N75" i="11" s="1"/>
  <c r="AN61" i="11"/>
  <c r="AN75" i="11" s="1"/>
  <c r="Z61" i="11"/>
  <c r="Z75" i="11" s="1"/>
  <c r="AE61" i="11"/>
  <c r="AE75" i="11" s="1"/>
  <c r="AF61" i="11"/>
  <c r="AJ61" i="11"/>
  <c r="AJ75" i="11" s="1"/>
  <c r="AC61" i="11"/>
  <c r="AC75" i="11" s="1"/>
  <c r="AP61" i="11"/>
  <c r="AP75" i="11" s="1"/>
  <c r="Y61" i="11"/>
  <c r="Y75" i="11" s="1"/>
  <c r="M61" i="11"/>
  <c r="M75" i="11" s="1"/>
  <c r="V61" i="11"/>
  <c r="V75" i="11" s="1"/>
  <c r="H61" i="11"/>
  <c r="O9" i="13"/>
  <c r="F358" i="9" l="1" a="1"/>
  <c r="F358" i="9" s="1"/>
  <c r="F493" i="9" a="1"/>
  <c r="F493" i="9" s="1"/>
  <c r="T76" i="11"/>
  <c r="F448" i="9" a="1"/>
  <c r="F448" i="9" s="1"/>
  <c r="C9" i="16"/>
  <c r="C9" i="18" s="1"/>
  <c r="F340" i="9" a="1"/>
  <c r="F340" i="9" s="1"/>
  <c r="H76" i="11"/>
  <c r="F435" i="9" a="1"/>
  <c r="F435" i="9" s="1"/>
  <c r="F480" i="9" a="1"/>
  <c r="F480" i="9" s="1"/>
  <c r="F461" i="9" a="1"/>
  <c r="F461" i="9" s="1"/>
  <c r="L9" i="16"/>
  <c r="L9" i="18" s="1"/>
  <c r="F475" i="9" a="1"/>
  <c r="F475" i="9" s="1"/>
  <c r="F371" i="9" a="1"/>
  <c r="F371" i="9" s="1"/>
  <c r="F345" i="9" a="1"/>
  <c r="F345" i="9" s="1"/>
  <c r="R9" i="16"/>
  <c r="U9" i="16" s="1"/>
  <c r="U9" i="18" s="1"/>
  <c r="F430" i="9" a="1"/>
  <c r="F430" i="9" s="1"/>
  <c r="F506" i="9" a="1"/>
  <c r="F506" i="9" s="1"/>
  <c r="E385" i="9" a="1"/>
  <c r="E385" i="9" s="1"/>
  <c r="E390" i="9" a="1"/>
  <c r="E390" i="9" s="1"/>
  <c r="E416" i="9" a="1"/>
  <c r="E416" i="9" s="1"/>
  <c r="E403" i="9" a="1"/>
  <c r="E403" i="9" s="1"/>
  <c r="N15" i="16" a="1"/>
  <c r="N25" i="16" s="1"/>
  <c r="N25" i="18" s="1"/>
  <c r="W60" i="11"/>
  <c r="W74" i="11" s="1"/>
  <c r="I6" i="16"/>
  <c r="I6" i="18" s="1"/>
  <c r="AF76" i="11"/>
  <c r="T15" i="16" a="1"/>
  <c r="E15" i="16" a="1"/>
  <c r="E72" i="11"/>
  <c r="C10" i="16"/>
  <c r="C10" i="18" s="1"/>
  <c r="H75" i="11"/>
  <c r="L15" i="16" a="1"/>
  <c r="H72" i="11"/>
  <c r="C15" i="16" a="1"/>
  <c r="D15" i="16" a="1"/>
  <c r="T75" i="11"/>
  <c r="M15" i="16" a="1"/>
  <c r="AF75" i="11"/>
  <c r="AF72" i="11"/>
  <c r="L121" i="9"/>
  <c r="R11" i="16"/>
  <c r="U11" i="16" s="1"/>
  <c r="U11" i="18" s="1"/>
  <c r="AE60" i="11"/>
  <c r="AE74" i="11" s="1"/>
  <c r="Z60" i="11"/>
  <c r="Z74" i="11" s="1"/>
  <c r="AI60" i="11"/>
  <c r="AI74" i="11" s="1"/>
  <c r="N60" i="11"/>
  <c r="N74" i="11" s="1"/>
  <c r="V60" i="11"/>
  <c r="V74" i="11" s="1"/>
  <c r="E60" i="11"/>
  <c r="AJ60" i="11"/>
  <c r="AJ74" i="11" s="1"/>
  <c r="AK60" i="11"/>
  <c r="AK74" i="11" s="1"/>
  <c r="S60" i="11"/>
  <c r="S74" i="11" s="1"/>
  <c r="U60" i="11"/>
  <c r="U74" i="11" s="1"/>
  <c r="R60" i="11"/>
  <c r="R74" i="11" s="1"/>
  <c r="G60" i="11"/>
  <c r="R12" i="16"/>
  <c r="U12" i="16" s="1"/>
  <c r="U12" i="18" s="1"/>
  <c r="AF60" i="11"/>
  <c r="D75" i="11"/>
  <c r="AD60" i="11"/>
  <c r="AD74" i="11" s="1"/>
  <c r="T60" i="11"/>
  <c r="AP60" i="11"/>
  <c r="AP74" i="11" s="1"/>
  <c r="K60" i="11"/>
  <c r="K74" i="11" s="1"/>
  <c r="AG60" i="11"/>
  <c r="AG74" i="11" s="1"/>
  <c r="M60" i="11"/>
  <c r="M74" i="11" s="1"/>
  <c r="AB60" i="11"/>
  <c r="AB74" i="11" s="1"/>
  <c r="I60" i="11"/>
  <c r="I74" i="11" s="1"/>
  <c r="Q60" i="11"/>
  <c r="Q74" i="11" s="1"/>
  <c r="D76" i="11"/>
  <c r="AL60" i="11"/>
  <c r="AL74" i="11" s="1"/>
  <c r="H60" i="11"/>
  <c r="AA60" i="11"/>
  <c r="AA74" i="11" s="1"/>
  <c r="O60" i="11"/>
  <c r="O74" i="11" s="1"/>
  <c r="F75" i="11"/>
  <c r="J60" i="11"/>
  <c r="J74" i="11" s="1"/>
  <c r="AO60" i="11"/>
  <c r="AO74" i="11" s="1"/>
  <c r="C74" i="11"/>
  <c r="P60" i="11"/>
  <c r="P74" i="11" s="1"/>
  <c r="X60" i="11"/>
  <c r="X74" i="11" s="1"/>
  <c r="D60" i="11"/>
  <c r="AH60" i="11"/>
  <c r="AH74" i="11" s="1"/>
  <c r="F72" i="11"/>
  <c r="AM60" i="11"/>
  <c r="AM74" i="11" s="1"/>
  <c r="L60" i="11"/>
  <c r="L74" i="11" s="1"/>
  <c r="F60" i="11"/>
  <c r="I11" i="16" s="1"/>
  <c r="I11" i="18" s="1"/>
  <c r="AN60" i="11"/>
  <c r="AN74" i="11" s="1"/>
  <c r="AQ60" i="11"/>
  <c r="AQ74" i="11" s="1"/>
  <c r="Y60" i="11"/>
  <c r="Y74" i="11" s="1"/>
  <c r="AC60" i="11"/>
  <c r="AC74" i="11" s="1"/>
  <c r="N123" i="9"/>
  <c r="M123" i="9"/>
  <c r="L123" i="9"/>
  <c r="T72" i="11"/>
  <c r="E76" i="11"/>
  <c r="R10" i="16"/>
  <c r="U10" i="16" s="1"/>
  <c r="U10" i="18" s="1"/>
  <c r="D72" i="11"/>
  <c r="G75" i="11"/>
  <c r="S15" i="16" a="1"/>
  <c r="S24" i="16" s="1"/>
  <c r="W24" i="16" s="1"/>
  <c r="W24" i="18" s="1"/>
  <c r="G72" i="11"/>
  <c r="E75" i="11"/>
  <c r="R15" i="16" a="1"/>
  <c r="R20" i="16" s="1"/>
  <c r="U20" i="16" s="1"/>
  <c r="U20" i="18" s="1"/>
  <c r="E14" i="13"/>
  <c r="E19" i="13" s="1"/>
  <c r="E24" i="13" s="1"/>
  <c r="E31" i="13" s="1"/>
  <c r="L14" i="13"/>
  <c r="L19" i="13" s="1"/>
  <c r="L24" i="13" s="1"/>
  <c r="L30" i="13" s="1"/>
  <c r="D14" i="13"/>
  <c r="D19" i="13" s="1"/>
  <c r="D24" i="13" s="1"/>
  <c r="D30" i="13" s="1"/>
  <c r="I14" i="13"/>
  <c r="I19" i="13" s="1"/>
  <c r="I24" i="13" s="1"/>
  <c r="I31" i="13" s="1"/>
  <c r="C14" i="13"/>
  <c r="C19" i="13" s="1"/>
  <c r="C24" i="13" s="1"/>
  <c r="J14" i="13"/>
  <c r="J19" i="13" s="1"/>
  <c r="J24" i="13" s="1"/>
  <c r="J30" i="13" s="1"/>
  <c r="F14" i="13"/>
  <c r="F19" i="13" s="1"/>
  <c r="F24" i="13" s="1"/>
  <c r="F30" i="13" s="1"/>
  <c r="G14" i="13"/>
  <c r="G19" i="13" s="1"/>
  <c r="G24" i="13" s="1"/>
  <c r="G31" i="13" s="1"/>
  <c r="N14" i="13"/>
  <c r="N19" i="13" s="1"/>
  <c r="N24" i="13" s="1"/>
  <c r="M14" i="13"/>
  <c r="M19" i="13" s="1"/>
  <c r="M24" i="13" s="1"/>
  <c r="H14" i="13"/>
  <c r="H19" i="13" s="1"/>
  <c r="H24" i="13" s="1"/>
  <c r="K14" i="13"/>
  <c r="K19" i="13" s="1"/>
  <c r="K24" i="13" s="1"/>
  <c r="E684" i="9" l="1" a="1"/>
  <c r="E684" i="9" s="1"/>
  <c r="E682" i="9" s="1"/>
  <c r="F403" i="9" a="1"/>
  <c r="F403" i="9" s="1"/>
  <c r="F416" i="9" a="1"/>
  <c r="F416" i="9" s="1"/>
  <c r="I9" i="16"/>
  <c r="F385" i="9" a="1"/>
  <c r="F385" i="9" s="1"/>
  <c r="H74" i="11"/>
  <c r="F390" i="9" a="1"/>
  <c r="F390" i="9" s="1"/>
  <c r="E709" i="9"/>
  <c r="E707" i="9" s="1"/>
  <c r="E721" i="9" s="1"/>
  <c r="N20" i="16"/>
  <c r="N20" i="18" s="1"/>
  <c r="N16" i="16"/>
  <c r="N16" i="18" s="1"/>
  <c r="N17" i="16"/>
  <c r="N17" i="18" s="1"/>
  <c r="N24" i="16"/>
  <c r="N24" i="18" s="1"/>
  <c r="N21" i="16"/>
  <c r="N21" i="18" s="1"/>
  <c r="N18" i="16"/>
  <c r="N18" i="18" s="1"/>
  <c r="N26" i="16"/>
  <c r="N26" i="18" s="1"/>
  <c r="N19" i="16"/>
  <c r="N19" i="18" s="1"/>
  <c r="N22" i="16"/>
  <c r="N22" i="18" s="1"/>
  <c r="N23" i="16"/>
  <c r="N23" i="18" s="1"/>
  <c r="N15" i="16"/>
  <c r="N15" i="18" s="1"/>
  <c r="D17" i="16"/>
  <c r="D17" i="18" s="1"/>
  <c r="D19" i="16"/>
  <c r="D19" i="18" s="1"/>
  <c r="D16" i="16"/>
  <c r="D16" i="18" s="1"/>
  <c r="D25" i="16"/>
  <c r="D25" i="18" s="1"/>
  <c r="D21" i="16"/>
  <c r="D21" i="18" s="1"/>
  <c r="D23" i="16"/>
  <c r="D23" i="18" s="1"/>
  <c r="D26" i="16"/>
  <c r="D26" i="18" s="1"/>
  <c r="D24" i="16"/>
  <c r="D24" i="18" s="1"/>
  <c r="D15" i="16"/>
  <c r="D15" i="18" s="1"/>
  <c r="D22" i="16"/>
  <c r="D22" i="18" s="1"/>
  <c r="D18" i="16"/>
  <c r="D18" i="18" s="1"/>
  <c r="D20" i="16"/>
  <c r="D20" i="18" s="1"/>
  <c r="T74" i="11"/>
  <c r="J15" i="16" a="1"/>
  <c r="E15" i="16"/>
  <c r="E15" i="18" s="1"/>
  <c r="E20" i="16"/>
  <c r="E20" i="18" s="1"/>
  <c r="E23" i="16"/>
  <c r="E23" i="18" s="1"/>
  <c r="E18" i="16"/>
  <c r="E18" i="18" s="1"/>
  <c r="E25" i="16"/>
  <c r="E25" i="18" s="1"/>
  <c r="E17" i="16"/>
  <c r="E17" i="18" s="1"/>
  <c r="E19" i="16"/>
  <c r="E19" i="18" s="1"/>
  <c r="E22" i="16"/>
  <c r="E22" i="18" s="1"/>
  <c r="E24" i="16"/>
  <c r="E24" i="18" s="1"/>
  <c r="E21" i="16"/>
  <c r="E21" i="18" s="1"/>
  <c r="E16" i="16"/>
  <c r="E16" i="18" s="1"/>
  <c r="E26" i="16"/>
  <c r="E26" i="18" s="1"/>
  <c r="K15" i="16" a="1"/>
  <c r="I10" i="16"/>
  <c r="I10" i="18" s="1"/>
  <c r="T15" i="16"/>
  <c r="Y15" i="16" s="1"/>
  <c r="Y15" i="18" s="1"/>
  <c r="Y19" i="16"/>
  <c r="Y19" i="18" s="1"/>
  <c r="Y20" i="16"/>
  <c r="Y20" i="18" s="1"/>
  <c r="Y25" i="16"/>
  <c r="Y25" i="18" s="1"/>
  <c r="Y22" i="16"/>
  <c r="Y22" i="18" s="1"/>
  <c r="Y18" i="16"/>
  <c r="Y18" i="18" s="1"/>
  <c r="Y17" i="16"/>
  <c r="Y17" i="18" s="1"/>
  <c r="Y24" i="16"/>
  <c r="Y24" i="18" s="1"/>
  <c r="Y26" i="16"/>
  <c r="Y26" i="18" s="1"/>
  <c r="Y16" i="16"/>
  <c r="Y16" i="18" s="1"/>
  <c r="Y21" i="16"/>
  <c r="Y21" i="18" s="1"/>
  <c r="Y23" i="16"/>
  <c r="Y23" i="18" s="1"/>
  <c r="I9" i="18"/>
  <c r="O9" i="16"/>
  <c r="O9" i="18" s="1"/>
  <c r="C15" i="16"/>
  <c r="C15" i="18" s="1"/>
  <c r="C26" i="16"/>
  <c r="C26" i="18" s="1"/>
  <c r="C18" i="16"/>
  <c r="C18" i="18" s="1"/>
  <c r="C17" i="16"/>
  <c r="C17" i="18" s="1"/>
  <c r="C22" i="16"/>
  <c r="C22" i="18" s="1"/>
  <c r="C24" i="16"/>
  <c r="C24" i="18" s="1"/>
  <c r="C21" i="16"/>
  <c r="C21" i="18" s="1"/>
  <c r="C16" i="16"/>
  <c r="C16" i="18" s="1"/>
  <c r="C25" i="16"/>
  <c r="C25" i="18" s="1"/>
  <c r="C20" i="16"/>
  <c r="C20" i="18" s="1"/>
  <c r="C23" i="16"/>
  <c r="C23" i="18" s="1"/>
  <c r="C19" i="16"/>
  <c r="C19" i="18" s="1"/>
  <c r="I12" i="16"/>
  <c r="I12" i="18" s="1"/>
  <c r="M15" i="16"/>
  <c r="M15" i="18" s="1"/>
  <c r="M20" i="16"/>
  <c r="M20" i="18" s="1"/>
  <c r="M23" i="16"/>
  <c r="M23" i="18" s="1"/>
  <c r="M18" i="16"/>
  <c r="M18" i="18" s="1"/>
  <c r="M25" i="16"/>
  <c r="M25" i="18" s="1"/>
  <c r="M17" i="16"/>
  <c r="M17" i="18" s="1"/>
  <c r="M19" i="16"/>
  <c r="M19" i="18" s="1"/>
  <c r="M22" i="16"/>
  <c r="M22" i="18" s="1"/>
  <c r="M24" i="16"/>
  <c r="M24" i="18" s="1"/>
  <c r="M26" i="16"/>
  <c r="M26" i="18" s="1"/>
  <c r="M21" i="16"/>
  <c r="M21" i="18" s="1"/>
  <c r="M16" i="16"/>
  <c r="M16" i="18" s="1"/>
  <c r="I15" i="16" a="1"/>
  <c r="L15" i="16"/>
  <c r="L15" i="18" s="1"/>
  <c r="L18" i="16"/>
  <c r="L18" i="18" s="1"/>
  <c r="L24" i="16"/>
  <c r="L24" i="18" s="1"/>
  <c r="L21" i="16"/>
  <c r="L21" i="18" s="1"/>
  <c r="L23" i="16"/>
  <c r="L23" i="18" s="1"/>
  <c r="L17" i="16"/>
  <c r="L17" i="18" s="1"/>
  <c r="L16" i="16"/>
  <c r="L16" i="18" s="1"/>
  <c r="L20" i="16"/>
  <c r="L20" i="18" s="1"/>
  <c r="L19" i="16"/>
  <c r="L19" i="18" s="1"/>
  <c r="L25" i="16"/>
  <c r="L25" i="18" s="1"/>
  <c r="L26" i="16"/>
  <c r="L26" i="18" s="1"/>
  <c r="L22" i="16"/>
  <c r="L22" i="18" s="1"/>
  <c r="AF74" i="11"/>
  <c r="E74" i="11"/>
  <c r="G74" i="11"/>
  <c r="F687" i="9" a="1"/>
  <c r="F687" i="9" s="1"/>
  <c r="F688" i="9" a="1"/>
  <c r="F688" i="9" s="1"/>
  <c r="D74" i="11"/>
  <c r="F74" i="11"/>
  <c r="O11" i="16"/>
  <c r="O11" i="18" s="1"/>
  <c r="S19" i="16"/>
  <c r="W19" i="16" s="1"/>
  <c r="W19" i="18" s="1"/>
  <c r="R23" i="16"/>
  <c r="U23" i="16" s="1"/>
  <c r="U23" i="18" s="1"/>
  <c r="S23" i="16"/>
  <c r="W23" i="16" s="1"/>
  <c r="W23" i="18" s="1"/>
  <c r="R15" i="16"/>
  <c r="U15" i="16" s="1"/>
  <c r="U15" i="18" s="1"/>
  <c r="S15" i="16"/>
  <c r="W15" i="16" s="1"/>
  <c r="W15" i="18" s="1"/>
  <c r="R21" i="16"/>
  <c r="U21" i="16" s="1"/>
  <c r="U21" i="18" s="1"/>
  <c r="R17" i="16"/>
  <c r="U17" i="16" s="1"/>
  <c r="U17" i="18" s="1"/>
  <c r="S18" i="16"/>
  <c r="W18" i="16" s="1"/>
  <c r="W18" i="18" s="1"/>
  <c r="S25" i="16"/>
  <c r="W25" i="16" s="1"/>
  <c r="W25" i="18" s="1"/>
  <c r="R16" i="16"/>
  <c r="U16" i="16" s="1"/>
  <c r="U16" i="18" s="1"/>
  <c r="R19" i="16"/>
  <c r="U19" i="16" s="1"/>
  <c r="U19" i="18" s="1"/>
  <c r="S16" i="16"/>
  <c r="W16" i="16" s="1"/>
  <c r="W16" i="18" s="1"/>
  <c r="R24" i="16"/>
  <c r="U24" i="16" s="1"/>
  <c r="U24" i="18" s="1"/>
  <c r="S17" i="16"/>
  <c r="W17" i="16" s="1"/>
  <c r="W17" i="18" s="1"/>
  <c r="S26" i="16"/>
  <c r="W26" i="16" s="1"/>
  <c r="W26" i="18" s="1"/>
  <c r="S20" i="16"/>
  <c r="W20" i="16" s="1"/>
  <c r="W20" i="18" s="1"/>
  <c r="S22" i="16"/>
  <c r="W22" i="16" s="1"/>
  <c r="W22" i="18" s="1"/>
  <c r="R26" i="16"/>
  <c r="U26" i="16" s="1"/>
  <c r="U26" i="18" s="1"/>
  <c r="R25" i="16"/>
  <c r="U25" i="16" s="1"/>
  <c r="U25" i="18" s="1"/>
  <c r="R22" i="16"/>
  <c r="U22" i="16" s="1"/>
  <c r="U22" i="18" s="1"/>
  <c r="S21" i="16"/>
  <c r="W21" i="16" s="1"/>
  <c r="W21" i="18" s="1"/>
  <c r="R18" i="16"/>
  <c r="U18" i="16" s="1"/>
  <c r="U18" i="18" s="1"/>
  <c r="E30" i="13"/>
  <c r="C31" i="13"/>
  <c r="L31" i="13"/>
  <c r="I30" i="13"/>
  <c r="F31" i="13"/>
  <c r="D31" i="13"/>
  <c r="J31" i="13"/>
  <c r="G30" i="13"/>
  <c r="K31" i="13"/>
  <c r="K30" i="13"/>
  <c r="N30" i="13"/>
  <c r="N31" i="13"/>
  <c r="O14" i="13"/>
  <c r="H31" i="13"/>
  <c r="H30" i="13"/>
  <c r="M31" i="13"/>
  <c r="M30" i="13"/>
  <c r="F713" i="9" l="1"/>
  <c r="F712" i="9"/>
  <c r="O12" i="16"/>
  <c r="O12" i="18" s="1"/>
  <c r="I15" i="16"/>
  <c r="I15" i="18" s="1"/>
  <c r="I25" i="16"/>
  <c r="I25" i="18" s="1"/>
  <c r="I21" i="16"/>
  <c r="I21" i="18" s="1"/>
  <c r="I16" i="16"/>
  <c r="I16" i="18" s="1"/>
  <c r="I22" i="16"/>
  <c r="I22" i="18" s="1"/>
  <c r="I20" i="16"/>
  <c r="I23" i="16"/>
  <c r="I23" i="18" s="1"/>
  <c r="I19" i="16"/>
  <c r="I19" i="18" s="1"/>
  <c r="I17" i="16"/>
  <c r="I17" i="18" s="1"/>
  <c r="I26" i="16"/>
  <c r="I26" i="18" s="1"/>
  <c r="I18" i="16"/>
  <c r="I18" i="18" s="1"/>
  <c r="I24" i="16"/>
  <c r="I24" i="18" s="1"/>
  <c r="J15" i="16"/>
  <c r="J15" i="18" s="1"/>
  <c r="J21" i="16"/>
  <c r="J21" i="18" s="1"/>
  <c r="J16" i="16"/>
  <c r="J16" i="18" s="1"/>
  <c r="J26" i="16"/>
  <c r="J26" i="18" s="1"/>
  <c r="J20" i="16"/>
  <c r="J18" i="16"/>
  <c r="J18" i="18" s="1"/>
  <c r="J23" i="16"/>
  <c r="J23" i="18" s="1"/>
  <c r="J25" i="16"/>
  <c r="J25" i="18" s="1"/>
  <c r="J19" i="16"/>
  <c r="J19" i="18" s="1"/>
  <c r="J17" i="16"/>
  <c r="J17" i="18" s="1"/>
  <c r="J22" i="16"/>
  <c r="J22" i="18" s="1"/>
  <c r="J24" i="16"/>
  <c r="J24" i="18" s="1"/>
  <c r="O10" i="16"/>
  <c r="O10" i="18" s="1"/>
  <c r="K15" i="16"/>
  <c r="K15" i="18" s="1"/>
  <c r="K26" i="16"/>
  <c r="K26" i="18" s="1"/>
  <c r="K17" i="16"/>
  <c r="K17" i="18" s="1"/>
  <c r="K22" i="16"/>
  <c r="K22" i="18" s="1"/>
  <c r="K24" i="16"/>
  <c r="K24" i="18" s="1"/>
  <c r="K25" i="16"/>
  <c r="K25" i="18" s="1"/>
  <c r="K21" i="16"/>
  <c r="K21" i="18" s="1"/>
  <c r="K16" i="16"/>
  <c r="K16" i="18" s="1"/>
  <c r="K18" i="16"/>
  <c r="K18" i="18" s="1"/>
  <c r="K20" i="16"/>
  <c r="K20" i="18" s="1"/>
  <c r="K23" i="16"/>
  <c r="K23" i="18" s="1"/>
  <c r="K19" i="16"/>
  <c r="K19" i="18" s="1"/>
  <c r="F684" i="9" a="1"/>
  <c r="F684" i="9" s="1"/>
  <c r="O30" i="13"/>
  <c r="C42" i="13" s="1"/>
  <c r="N39" i="13" s="1"/>
  <c r="N53" i="13" s="1"/>
  <c r="O31" i="13"/>
  <c r="C43" i="13" s="1"/>
  <c r="S25" i="11" l="1"/>
  <c r="S31" i="11"/>
  <c r="O26" i="16"/>
  <c r="O26" i="18" s="1"/>
  <c r="F709" i="9"/>
  <c r="O25" i="16"/>
  <c r="O25" i="18" s="1"/>
  <c r="O15" i="16"/>
  <c r="O15" i="18" s="1"/>
  <c r="O19" i="16"/>
  <c r="O19" i="18" s="1"/>
  <c r="O17" i="16"/>
  <c r="O17" i="18" s="1"/>
  <c r="P18" i="16"/>
  <c r="P18" i="18" s="1"/>
  <c r="O22" i="16"/>
  <c r="O22" i="18" s="1"/>
  <c r="P19" i="16"/>
  <c r="P19" i="18" s="1"/>
  <c r="O18" i="16"/>
  <c r="O18" i="18" s="1"/>
  <c r="O21" i="16"/>
  <c r="O21" i="18" s="1"/>
  <c r="Q22" i="16"/>
  <c r="Q22" i="18" s="1"/>
  <c r="P23" i="16"/>
  <c r="P23" i="18" s="1"/>
  <c r="P21" i="16"/>
  <c r="P21" i="18" s="1"/>
  <c r="Q17" i="16"/>
  <c r="Q17" i="18" s="1"/>
  <c r="P26" i="16"/>
  <c r="P26" i="18" s="1"/>
  <c r="P24" i="16"/>
  <c r="P24" i="18" s="1"/>
  <c r="P25" i="16"/>
  <c r="P25" i="18" s="1"/>
  <c r="O16" i="16"/>
  <c r="O16" i="18" s="1"/>
  <c r="O24" i="16"/>
  <c r="O24" i="18" s="1"/>
  <c r="Q16" i="16"/>
  <c r="Q16" i="18" s="1"/>
  <c r="P17" i="16"/>
  <c r="P17" i="18" s="1"/>
  <c r="Q24" i="16"/>
  <c r="Q24" i="18" s="1"/>
  <c r="Q23" i="16"/>
  <c r="Q23" i="18" s="1"/>
  <c r="Q19" i="16"/>
  <c r="Q19" i="18" s="1"/>
  <c r="Q18" i="16"/>
  <c r="Q18" i="18" s="1"/>
  <c r="O23" i="16"/>
  <c r="O23" i="18" s="1"/>
  <c r="Q20" i="16"/>
  <c r="Q20" i="18" s="1"/>
  <c r="Q26" i="16"/>
  <c r="Q26" i="18" s="1"/>
  <c r="Q15" i="16"/>
  <c r="Q15" i="18" s="1"/>
  <c r="P16" i="16"/>
  <c r="P16" i="18" s="1"/>
  <c r="P15" i="16"/>
  <c r="P15" i="18" s="1"/>
  <c r="Q25" i="16"/>
  <c r="Q25" i="18" s="1"/>
  <c r="I20" i="18"/>
  <c r="O20" i="16"/>
  <c r="O20" i="18" s="1"/>
  <c r="Q21" i="16"/>
  <c r="Q21" i="18" s="1"/>
  <c r="P22" i="16"/>
  <c r="P22" i="18" s="1"/>
  <c r="J20" i="18"/>
  <c r="P20" i="16"/>
  <c r="P20" i="18" s="1"/>
  <c r="F682" i="9"/>
  <c r="S57" i="11"/>
  <c r="S56" i="11"/>
  <c r="L39" i="13"/>
  <c r="I39" i="13"/>
  <c r="K39" i="13"/>
  <c r="K53" i="13" s="1"/>
  <c r="H39" i="13"/>
  <c r="H53" i="13" s="1"/>
  <c r="M39" i="13"/>
  <c r="M53" i="13" s="1"/>
  <c r="D39" i="13"/>
  <c r="D53" i="13" s="1"/>
  <c r="G39" i="13"/>
  <c r="G53" i="13" s="1"/>
  <c r="F39" i="13"/>
  <c r="C39" i="13"/>
  <c r="E39" i="13"/>
  <c r="E53" i="13" s="1"/>
  <c r="J39" i="13"/>
  <c r="J53" i="13" s="1"/>
  <c r="E40" i="13"/>
  <c r="E54" i="13" s="1"/>
  <c r="F40" i="13"/>
  <c r="F54" i="13" s="1"/>
  <c r="D40" i="13"/>
  <c r="D54" i="13" s="1"/>
  <c r="I40" i="13"/>
  <c r="I54" i="13" s="1"/>
  <c r="J40" i="13"/>
  <c r="J54" i="13" s="1"/>
  <c r="G40" i="13"/>
  <c r="G54" i="13" s="1"/>
  <c r="L40" i="13"/>
  <c r="L54" i="13" s="1"/>
  <c r="H40" i="13"/>
  <c r="H54" i="13" s="1"/>
  <c r="K40" i="13"/>
  <c r="K54" i="13" s="1"/>
  <c r="N40" i="13"/>
  <c r="N54" i="13" s="1"/>
  <c r="C40" i="13"/>
  <c r="C54" i="13" s="1"/>
  <c r="M40" i="13"/>
  <c r="M54" i="13" s="1"/>
  <c r="P31" i="11" l="1"/>
  <c r="P56" i="11" s="1"/>
  <c r="P25" i="11"/>
  <c r="J25" i="11"/>
  <c r="J31" i="11"/>
  <c r="AC25" i="11"/>
  <c r="AC31" i="11"/>
  <c r="V25" i="11"/>
  <c r="V31" i="11"/>
  <c r="O31" i="11"/>
  <c r="O25" i="11"/>
  <c r="M25" i="11"/>
  <c r="M57" i="11" s="1"/>
  <c r="M31" i="11"/>
  <c r="M56" i="11" s="1"/>
  <c r="Y31" i="11"/>
  <c r="Y25" i="11"/>
  <c r="Z25" i="11"/>
  <c r="Z31" i="11"/>
  <c r="L25" i="11"/>
  <c r="L31" i="11"/>
  <c r="X31" i="11"/>
  <c r="X56" i="11" s="1"/>
  <c r="X25" i="11"/>
  <c r="AD31" i="11"/>
  <c r="AD56" i="11" s="1"/>
  <c r="AD25" i="11"/>
  <c r="U31" i="11"/>
  <c r="U25" i="11"/>
  <c r="I31" i="11"/>
  <c r="I56" i="11" s="1"/>
  <c r="I25" i="11"/>
  <c r="I57" i="11" s="1"/>
  <c r="AB25" i="11"/>
  <c r="AB31" i="11"/>
  <c r="AA25" i="11"/>
  <c r="AA31" i="11"/>
  <c r="T25" i="11"/>
  <c r="T31" i="11"/>
  <c r="AE31" i="11"/>
  <c r="AE25" i="11"/>
  <c r="AE57" i="11" s="1"/>
  <c r="W31" i="11"/>
  <c r="W25" i="11"/>
  <c r="R25" i="11"/>
  <c r="R57" i="11" s="1"/>
  <c r="R31" i="11"/>
  <c r="R56" i="11" s="1"/>
  <c r="L57" i="11"/>
  <c r="L56" i="11"/>
  <c r="O57" i="11"/>
  <c r="O56" i="11"/>
  <c r="J57" i="11"/>
  <c r="J56" i="11"/>
  <c r="P57" i="11"/>
  <c r="F48" i="13"/>
  <c r="F56" i="13" s="1"/>
  <c r="C53" i="13"/>
  <c r="C48" i="13"/>
  <c r="C56" i="13" s="1"/>
  <c r="F53" i="13"/>
  <c r="D48" i="13"/>
  <c r="D56" i="13" s="1"/>
  <c r="I53" i="13"/>
  <c r="E48" i="13"/>
  <c r="E56" i="13" s="1"/>
  <c r="L53" i="13"/>
  <c r="O54" i="13"/>
  <c r="AF57" i="11" l="1"/>
  <c r="T57" i="11"/>
  <c r="Q31" i="11"/>
  <c r="Q25" i="11"/>
  <c r="Q57" i="11" s="1"/>
  <c r="N25" i="11"/>
  <c r="N31" i="11"/>
  <c r="E255" i="9" a="1"/>
  <c r="T56" i="11"/>
  <c r="E31" i="11"/>
  <c r="E56" i="11" s="1"/>
  <c r="E25" i="11"/>
  <c r="E57" i="11" s="1"/>
  <c r="F25" i="11"/>
  <c r="F57" i="11" s="1"/>
  <c r="F31" i="11"/>
  <c r="F56" i="11" s="1"/>
  <c r="K25" i="11"/>
  <c r="K31" i="11"/>
  <c r="G31" i="11"/>
  <c r="G56" i="11" s="1"/>
  <c r="G25" i="11"/>
  <c r="G57" i="11" s="1"/>
  <c r="D25" i="11"/>
  <c r="D57" i="11" s="1"/>
  <c r="D31" i="11"/>
  <c r="H31" i="11"/>
  <c r="H25" i="11"/>
  <c r="H57" i="11" s="1"/>
  <c r="AI56" i="11"/>
  <c r="W56" i="11"/>
  <c r="AO57" i="11"/>
  <c r="AC57" i="11"/>
  <c r="AJ57" i="11"/>
  <c r="X57" i="11"/>
  <c r="AI57" i="11"/>
  <c r="W57" i="11"/>
  <c r="AN57" i="11"/>
  <c r="AB57" i="11"/>
  <c r="AL56" i="11"/>
  <c r="Z56" i="11"/>
  <c r="Y56" i="11"/>
  <c r="AK56" i="11"/>
  <c r="AP56" i="11"/>
  <c r="AP57" i="11"/>
  <c r="AD57" i="11"/>
  <c r="AB56" i="11"/>
  <c r="AN56" i="11"/>
  <c r="AG56" i="11"/>
  <c r="U56" i="11"/>
  <c r="AJ56" i="11"/>
  <c r="AQ57" i="11"/>
  <c r="AG57" i="11"/>
  <c r="U57" i="11"/>
  <c r="AO56" i="11"/>
  <c r="AC56" i="11"/>
  <c r="AK57" i="11"/>
  <c r="Y57" i="11"/>
  <c r="AH56" i="11"/>
  <c r="V56" i="11"/>
  <c r="AF56" i="11"/>
  <c r="AL57" i="11"/>
  <c r="Z57" i="11"/>
  <c r="AQ56" i="11"/>
  <c r="AE56" i="11"/>
  <c r="AM56" i="11"/>
  <c r="AA56" i="11"/>
  <c r="AM57" i="11"/>
  <c r="AA57" i="11"/>
  <c r="V57" i="11"/>
  <c r="AH57" i="11"/>
  <c r="Q56" i="11"/>
  <c r="K57" i="11"/>
  <c r="K56" i="11"/>
  <c r="N57" i="11"/>
  <c r="N56" i="11"/>
  <c r="O53" i="13"/>
  <c r="G56" i="13"/>
  <c r="E255" i="9" l="1"/>
  <c r="H323" i="9" s="1"/>
  <c r="H334" i="9"/>
  <c r="H330" i="9"/>
  <c r="H326" i="9"/>
  <c r="H327" i="9"/>
  <c r="H332" i="9"/>
  <c r="H329" i="9"/>
  <c r="H331" i="9"/>
  <c r="H325" i="9"/>
  <c r="H333" i="9"/>
  <c r="H324" i="9"/>
  <c r="H328" i="9"/>
  <c r="E242" i="9" a="1"/>
  <c r="H56" i="11"/>
  <c r="E237" i="9" a="1"/>
  <c r="D56" i="11"/>
  <c r="I324" i="9"/>
  <c r="I325" i="9"/>
  <c r="I323" i="9"/>
  <c r="I334" i="9"/>
  <c r="I332" i="9"/>
  <c r="I333" i="9"/>
  <c r="I331" i="9"/>
  <c r="I330" i="9"/>
  <c r="I328" i="9"/>
  <c r="I329" i="9"/>
  <c r="I326" i="9"/>
  <c r="I327" i="9"/>
  <c r="E242" i="9" l="1"/>
  <c r="H310" i="9" s="1"/>
  <c r="H318" i="9"/>
  <c r="H313" i="9"/>
  <c r="H321" i="9"/>
  <c r="H315" i="9"/>
  <c r="H317" i="9"/>
  <c r="H312" i="9"/>
  <c r="H311" i="9"/>
  <c r="H320" i="9"/>
  <c r="H314" i="9"/>
  <c r="H316" i="9"/>
  <c r="H319" i="9"/>
  <c r="E237" i="9"/>
  <c r="H305" i="9" s="1"/>
  <c r="H307" i="9"/>
  <c r="H306" i="9"/>
  <c r="H308" i="9"/>
  <c r="I308" i="9"/>
  <c r="I306" i="9"/>
  <c r="I305" i="9"/>
  <c r="I307" i="9"/>
  <c r="I310" i="9"/>
  <c r="I321" i="9"/>
  <c r="I319" i="9"/>
  <c r="I320" i="9"/>
  <c r="I312" i="9"/>
  <c r="I318" i="9"/>
  <c r="I314" i="9"/>
  <c r="I317" i="9"/>
  <c r="I313" i="9"/>
  <c r="I315" i="9"/>
  <c r="I316" i="9"/>
  <c r="I311" i="9"/>
  <c r="I300" i="9" l="1"/>
  <c r="F102" i="9" s="1"/>
  <c r="H300" i="9"/>
  <c r="E102" i="9" s="1"/>
  <c r="G102" i="9" l="1"/>
  <c r="E101" i="9"/>
  <c r="J46" i="15"/>
  <c r="H47" i="15" s="1"/>
  <c r="F101" i="9"/>
  <c r="G101" i="9" l="1"/>
  <c r="E126" i="9"/>
  <c r="E128" i="9"/>
  <c r="E97" i="9"/>
  <c r="E44" i="9"/>
  <c r="F97" i="9"/>
  <c r="M164" i="9"/>
  <c r="M162" i="9" s="1"/>
  <c r="I164" i="9"/>
  <c r="I162" i="9" s="1"/>
  <c r="I161" i="9" s="1"/>
  <c r="K164" i="9"/>
  <c r="K162" i="9" s="1"/>
  <c r="K161" i="9" s="1"/>
  <c r="E164" i="9"/>
  <c r="E162" i="9" s="1"/>
  <c r="E161" i="9" s="1"/>
  <c r="G164" i="9"/>
  <c r="G162" i="9" s="1"/>
  <c r="G161" i="9" s="1"/>
  <c r="C46" i="11"/>
  <c r="F128" i="9"/>
  <c r="F126" i="9"/>
  <c r="V67" i="15"/>
  <c r="J55" i="15"/>
  <c r="K55" i="15"/>
  <c r="I55" i="15"/>
  <c r="H55" i="15"/>
  <c r="G97" i="9" l="1"/>
  <c r="E43" i="9"/>
  <c r="E49" i="9" s="1"/>
  <c r="E42" i="9"/>
  <c r="E41" i="9" s="1"/>
  <c r="F191" i="9" s="1"/>
  <c r="H126" i="9"/>
  <c r="G126" i="9"/>
  <c r="E677" i="9"/>
  <c r="I128" i="9"/>
  <c r="J128" i="9" s="1"/>
  <c r="H128" i="9"/>
  <c r="G128" i="9"/>
  <c r="E675" i="9"/>
  <c r="I126" i="9"/>
  <c r="C48" i="11"/>
  <c r="M160" i="9"/>
  <c r="I160" i="9"/>
  <c r="K160" i="9"/>
  <c r="M161" i="9"/>
  <c r="F675" i="9"/>
  <c r="F677" i="9"/>
  <c r="K128" i="9"/>
  <c r="L128" i="9" s="1"/>
  <c r="K126" i="9"/>
  <c r="L126" i="9" s="1"/>
  <c r="C65" i="11"/>
  <c r="C63" i="11"/>
  <c r="AD6" i="16" s="1"/>
  <c r="AD6" i="18" s="1"/>
  <c r="K48" i="15"/>
  <c r="I48" i="15"/>
  <c r="H48" i="15"/>
  <c r="N55" i="15"/>
  <c r="J48" i="15"/>
  <c r="O67" i="15"/>
  <c r="J126" i="9" l="1"/>
  <c r="E40" i="9"/>
  <c r="E47" i="9"/>
  <c r="E46" i="9" s="1"/>
  <c r="E129" i="9"/>
  <c r="E50" i="9"/>
  <c r="E51" i="9" s="1"/>
  <c r="K158" i="9"/>
  <c r="I158" i="9"/>
  <c r="M158" i="9"/>
  <c r="H49" i="15"/>
  <c r="I49" i="15"/>
  <c r="J49" i="15"/>
  <c r="K49" i="15"/>
  <c r="E53" i="9" l="1"/>
  <c r="I129" i="9"/>
  <c r="J129" i="9" s="1"/>
  <c r="E54" i="9"/>
  <c r="E144" i="9" s="1"/>
  <c r="M169" i="9"/>
  <c r="I169" i="9"/>
  <c r="K169" i="9"/>
  <c r="H50" i="15"/>
  <c r="E706" i="9" l="1"/>
  <c r="I144" i="9"/>
  <c r="J144" i="9" s="1"/>
  <c r="E52" i="9"/>
  <c r="E143" i="9"/>
  <c r="E57" i="9"/>
  <c r="E56" i="9"/>
  <c r="E130" i="9" s="1"/>
  <c r="E132" i="9" s="1"/>
  <c r="I50" i="15"/>
  <c r="I51" i="15" s="1"/>
  <c r="H51" i="15"/>
  <c r="E705" i="9" l="1"/>
  <c r="E704" i="9" s="1"/>
  <c r="E703" i="9" s="1"/>
  <c r="I143" i="9"/>
  <c r="J143" i="9" s="1"/>
  <c r="E55" i="9"/>
  <c r="E131" i="9"/>
  <c r="E133" i="9" s="1"/>
  <c r="E679" i="9"/>
  <c r="I132" i="9"/>
  <c r="M128" i="9"/>
  <c r="E46" i="11"/>
  <c r="C79" i="11"/>
  <c r="I52" i="15"/>
  <c r="I57" i="15" s="1"/>
  <c r="I58" i="15" s="1"/>
  <c r="I59" i="15" s="1"/>
  <c r="J50" i="15"/>
  <c r="K50" i="15"/>
  <c r="H52" i="15"/>
  <c r="H57" i="15" s="1"/>
  <c r="J132" i="9" l="1"/>
  <c r="I133" i="9"/>
  <c r="E680" i="9"/>
  <c r="E718" i="9" s="1"/>
  <c r="N128" i="9"/>
  <c r="AF46" i="11"/>
  <c r="W46" i="11"/>
  <c r="F48" i="11"/>
  <c r="Y48" i="11"/>
  <c r="AM48" i="11"/>
  <c r="N126" i="9"/>
  <c r="AC48" i="11"/>
  <c r="Q48" i="11"/>
  <c r="M126" i="9"/>
  <c r="AN48" i="11"/>
  <c r="AF48" i="11"/>
  <c r="H48" i="11"/>
  <c r="N48" i="11"/>
  <c r="R48" i="11"/>
  <c r="W48" i="11"/>
  <c r="AQ48" i="11"/>
  <c r="V48" i="11"/>
  <c r="I48" i="11"/>
  <c r="P48" i="11"/>
  <c r="AE48" i="11"/>
  <c r="AO48" i="11"/>
  <c r="AH48" i="11"/>
  <c r="AB48" i="11"/>
  <c r="Z46" i="11"/>
  <c r="AD46" i="11"/>
  <c r="Y46" i="11"/>
  <c r="AO46" i="11"/>
  <c r="V46" i="11"/>
  <c r="AJ46" i="11"/>
  <c r="I46" i="11"/>
  <c r="AL46" i="11"/>
  <c r="AQ46" i="11"/>
  <c r="AP48" i="11"/>
  <c r="AC46" i="11"/>
  <c r="AM46" i="11"/>
  <c r="AK46" i="11"/>
  <c r="O46" i="11"/>
  <c r="R46" i="11"/>
  <c r="L46" i="11"/>
  <c r="AE46" i="11"/>
  <c r="M46" i="11"/>
  <c r="AN46" i="11"/>
  <c r="AP46" i="11"/>
  <c r="Q46" i="11"/>
  <c r="N46" i="11"/>
  <c r="AH46" i="11"/>
  <c r="AI46" i="11"/>
  <c r="P46" i="11"/>
  <c r="U46" i="11"/>
  <c r="S46" i="11"/>
  <c r="J46" i="11"/>
  <c r="D46" i="11"/>
  <c r="K46" i="11"/>
  <c r="F46" i="11"/>
  <c r="X46" i="11"/>
  <c r="Z48" i="11"/>
  <c r="D48" i="11"/>
  <c r="J48" i="11"/>
  <c r="AA46" i="11"/>
  <c r="T46" i="11"/>
  <c r="AB46" i="11"/>
  <c r="AG46" i="11"/>
  <c r="G46" i="11"/>
  <c r="H46" i="11"/>
  <c r="O48" i="11"/>
  <c r="E48" i="11"/>
  <c r="S48" i="11"/>
  <c r="AI48" i="11"/>
  <c r="G48" i="11"/>
  <c r="M48" i="11"/>
  <c r="K48" i="11"/>
  <c r="U48" i="11"/>
  <c r="AG48" i="11"/>
  <c r="AK48" i="11"/>
  <c r="AD48" i="11"/>
  <c r="AL48" i="11"/>
  <c r="T48" i="11"/>
  <c r="X48" i="11"/>
  <c r="AJ48" i="11"/>
  <c r="AA48" i="11"/>
  <c r="L48" i="11"/>
  <c r="C77" i="11"/>
  <c r="I53" i="15"/>
  <c r="AN63" i="11"/>
  <c r="O63" i="11"/>
  <c r="AD63" i="11"/>
  <c r="AK63" i="11"/>
  <c r="AJ63" i="11"/>
  <c r="AB63" i="11"/>
  <c r="T63" i="11"/>
  <c r="S63" i="11"/>
  <c r="Z63" i="11"/>
  <c r="V63" i="11"/>
  <c r="Y63" i="11"/>
  <c r="N63" i="11"/>
  <c r="Q63" i="11"/>
  <c r="AL63" i="11"/>
  <c r="D63" i="11"/>
  <c r="AH63" i="11"/>
  <c r="W63" i="11"/>
  <c r="F63" i="11"/>
  <c r="AD11" i="16" s="1"/>
  <c r="AD11" i="18" s="1"/>
  <c r="AA63" i="11"/>
  <c r="I63" i="11"/>
  <c r="U63" i="11"/>
  <c r="K63" i="11"/>
  <c r="P63" i="11"/>
  <c r="E63" i="11"/>
  <c r="AD10" i="16" s="1"/>
  <c r="AD10" i="18" s="1"/>
  <c r="AP63" i="11"/>
  <c r="H63" i="11"/>
  <c r="L63" i="11"/>
  <c r="AO63" i="11"/>
  <c r="AO77" i="11" s="1"/>
  <c r="AM63" i="11"/>
  <c r="AM77" i="11" s="1"/>
  <c r="AC63" i="11"/>
  <c r="AQ63" i="11"/>
  <c r="AG63" i="11"/>
  <c r="AE63" i="11"/>
  <c r="K51" i="15"/>
  <c r="R63" i="11"/>
  <c r="AF63" i="11"/>
  <c r="G63" i="11"/>
  <c r="AD12" i="16" s="1"/>
  <c r="AD12" i="18" s="1"/>
  <c r="AI6" i="16"/>
  <c r="AL6" i="16" s="1"/>
  <c r="AL6" i="18" s="1"/>
  <c r="AG65" i="11"/>
  <c r="S65" i="11"/>
  <c r="AJ65" i="11"/>
  <c r="V65" i="11"/>
  <c r="H65" i="11"/>
  <c r="AB65" i="11"/>
  <c r="AO65" i="11"/>
  <c r="AA65" i="11"/>
  <c r="E65" i="11"/>
  <c r="AD65" i="11"/>
  <c r="P65" i="11"/>
  <c r="P79" i="11" s="1"/>
  <c r="K65" i="11"/>
  <c r="J65" i="11"/>
  <c r="AI65" i="11"/>
  <c r="M65" i="11"/>
  <c r="AL65" i="11"/>
  <c r="X65" i="11"/>
  <c r="R65" i="11"/>
  <c r="AQ65" i="11"/>
  <c r="U65" i="11"/>
  <c r="G65" i="11"/>
  <c r="AF65" i="11"/>
  <c r="N65" i="11"/>
  <c r="Z65" i="11"/>
  <c r="D65" i="11"/>
  <c r="AC65" i="11"/>
  <c r="O65" i="11"/>
  <c r="AN65" i="11"/>
  <c r="I65" i="11"/>
  <c r="AH65" i="11"/>
  <c r="L65" i="11"/>
  <c r="AK65" i="11"/>
  <c r="W65" i="11"/>
  <c r="Q65" i="11"/>
  <c r="AP65" i="11"/>
  <c r="T65" i="11"/>
  <c r="F65" i="11"/>
  <c r="AE65" i="11"/>
  <c r="Y65" i="11"/>
  <c r="AM65" i="11"/>
  <c r="J51" i="15"/>
  <c r="M63" i="11"/>
  <c r="AI63" i="11"/>
  <c r="J63" i="11"/>
  <c r="X63" i="11"/>
  <c r="H58" i="15"/>
  <c r="H53" i="15"/>
  <c r="M66" i="15"/>
  <c r="M68" i="15" s="1"/>
  <c r="E565" i="9" l="1" a="1"/>
  <c r="E565" i="9" s="1"/>
  <c r="E678" i="9"/>
  <c r="E674" i="9" s="1"/>
  <c r="E666" i="9" s="1"/>
  <c r="J133" i="9"/>
  <c r="F209" i="9"/>
  <c r="F213" i="9" s="1"/>
  <c r="E551" i="9" a="1"/>
  <c r="E551" i="9" s="1"/>
  <c r="E525" i="9" a="1"/>
  <c r="E525" i="9" s="1"/>
  <c r="F551" i="9" a="1"/>
  <c r="F551" i="9" s="1"/>
  <c r="F596" i="9" a="1"/>
  <c r="F596" i="9" s="1"/>
  <c r="F570" i="9" a="1"/>
  <c r="F570" i="9" s="1"/>
  <c r="F525" i="9" a="1"/>
  <c r="F525" i="9" s="1"/>
  <c r="E583" i="9" a="1"/>
  <c r="E583" i="9" s="1"/>
  <c r="E538" i="9" a="1"/>
  <c r="E538" i="9" s="1"/>
  <c r="E520" i="9" a="1"/>
  <c r="E520" i="9" s="1"/>
  <c r="E570" i="9" a="1"/>
  <c r="E570" i="9" s="1"/>
  <c r="E596" i="9" a="1"/>
  <c r="E596" i="9" s="1"/>
  <c r="F583" i="9" a="1"/>
  <c r="F583" i="9" s="1"/>
  <c r="F565" i="9" a="1"/>
  <c r="F565" i="9" s="1"/>
  <c r="AD9" i="16"/>
  <c r="AD9" i="18" s="1"/>
  <c r="F520" i="9" a="1"/>
  <c r="F520" i="9" s="1"/>
  <c r="F538" i="9" a="1"/>
  <c r="F538" i="9" s="1"/>
  <c r="R77" i="11"/>
  <c r="AH77" i="11"/>
  <c r="AQ79" i="11"/>
  <c r="AI77" i="11"/>
  <c r="M77" i="11"/>
  <c r="AI79" i="11"/>
  <c r="AN79" i="11"/>
  <c r="K79" i="11"/>
  <c r="V79" i="11"/>
  <c r="AD77" i="11"/>
  <c r="W77" i="11"/>
  <c r="H59" i="15"/>
  <c r="I66" i="15"/>
  <c r="I68" i="15" s="1"/>
  <c r="X77" i="11"/>
  <c r="AE15" i="16" a="1"/>
  <c r="AF15" i="16" a="1"/>
  <c r="AK15" i="16" a="1"/>
  <c r="AD15" i="16" a="1"/>
  <c r="Y79" i="11"/>
  <c r="AJ79" i="11"/>
  <c r="Z77" i="11"/>
  <c r="AM79" i="11"/>
  <c r="AL79" i="11"/>
  <c r="AQ77" i="11"/>
  <c r="U77" i="11"/>
  <c r="N79" i="11"/>
  <c r="AO79" i="11"/>
  <c r="O79" i="11"/>
  <c r="V77" i="11"/>
  <c r="AC79" i="11"/>
  <c r="R79" i="11"/>
  <c r="S79" i="11"/>
  <c r="AE77" i="11"/>
  <c r="AN77" i="11"/>
  <c r="J77" i="11"/>
  <c r="Q79" i="11"/>
  <c r="W79" i="11"/>
  <c r="S77" i="11"/>
  <c r="AE79" i="11"/>
  <c r="AH79" i="11"/>
  <c r="AB79" i="11"/>
  <c r="U79" i="11"/>
  <c r="AA77" i="11"/>
  <c r="X79" i="11"/>
  <c r="AG77" i="11"/>
  <c r="P77" i="11"/>
  <c r="M79" i="11"/>
  <c r="AC77" i="11"/>
  <c r="I79" i="11"/>
  <c r="Y77" i="11"/>
  <c r="L77" i="11"/>
  <c r="AP79" i="11"/>
  <c r="K77" i="11"/>
  <c r="AB77" i="11"/>
  <c r="O77" i="11"/>
  <c r="AG79" i="11"/>
  <c r="L79" i="11"/>
  <c r="AL77" i="11"/>
  <c r="AP77" i="11"/>
  <c r="Z79" i="11"/>
  <c r="AA79" i="11"/>
  <c r="Q77" i="11"/>
  <c r="AJ77" i="11"/>
  <c r="I77" i="11"/>
  <c r="N77" i="11"/>
  <c r="AK77" i="11"/>
  <c r="J79" i="11"/>
  <c r="AD79" i="11"/>
  <c r="AK79" i="11"/>
  <c r="H79" i="11"/>
  <c r="D79" i="11"/>
  <c r="H77" i="11"/>
  <c r="AF79" i="11"/>
  <c r="AF77" i="11"/>
  <c r="T79" i="11"/>
  <c r="T77" i="11"/>
  <c r="G77" i="11"/>
  <c r="F77" i="11"/>
  <c r="AI11" i="16"/>
  <c r="AL11" i="16" s="1"/>
  <c r="AL11" i="18" s="1"/>
  <c r="F79" i="11"/>
  <c r="AI12" i="16"/>
  <c r="AL12" i="16" s="1"/>
  <c r="AL12" i="18" s="1"/>
  <c r="G79" i="11"/>
  <c r="E77" i="11"/>
  <c r="D77" i="11"/>
  <c r="AI10" i="16"/>
  <c r="AL10" i="16" s="1"/>
  <c r="AL10" i="18" s="1"/>
  <c r="E79" i="11"/>
  <c r="AJ15" i="16" a="1"/>
  <c r="AI9" i="16"/>
  <c r="AL9" i="16" s="1"/>
  <c r="AL9" i="18" s="1"/>
  <c r="AI15" i="16" a="1"/>
  <c r="E692" i="9" l="1" a="1"/>
  <c r="E692" i="9" s="1"/>
  <c r="E716" i="9" s="1"/>
  <c r="E723" i="9" s="1"/>
  <c r="E690" i="9" a="1"/>
  <c r="E690" i="9" s="1"/>
  <c r="E715" i="9" s="1"/>
  <c r="AD15" i="16"/>
  <c r="AD15" i="18" s="1"/>
  <c r="AD26" i="16"/>
  <c r="AD26" i="18" s="1"/>
  <c r="AD18" i="16"/>
  <c r="AD18" i="18" s="1"/>
  <c r="AD17" i="16"/>
  <c r="AD17" i="18" s="1"/>
  <c r="AD22" i="16"/>
  <c r="AD22" i="18" s="1"/>
  <c r="AD24" i="16"/>
  <c r="AD24" i="18" s="1"/>
  <c r="AD25" i="16"/>
  <c r="AD25" i="18" s="1"/>
  <c r="AD21" i="16"/>
  <c r="AD21" i="18" s="1"/>
  <c r="AD16" i="16"/>
  <c r="AD16" i="18" s="1"/>
  <c r="AD20" i="16"/>
  <c r="AD20" i="18" s="1"/>
  <c r="AD23" i="16"/>
  <c r="AD23" i="18" s="1"/>
  <c r="AD19" i="16"/>
  <c r="AD19" i="18" s="1"/>
  <c r="AK15" i="16"/>
  <c r="AP15" i="16" s="1"/>
  <c r="AP15" i="18" s="1"/>
  <c r="AP22" i="16"/>
  <c r="AP22" i="18" s="1"/>
  <c r="AP16" i="16"/>
  <c r="AP16" i="18" s="1"/>
  <c r="AP18" i="16"/>
  <c r="AP18" i="18" s="1"/>
  <c r="AP19" i="16"/>
  <c r="AP19" i="18" s="1"/>
  <c r="AP23" i="16"/>
  <c r="AP23" i="18" s="1"/>
  <c r="AP24" i="16"/>
  <c r="AP24" i="18" s="1"/>
  <c r="AP25" i="16"/>
  <c r="AP25" i="18" s="1"/>
  <c r="AP17" i="16"/>
  <c r="AP17" i="18" s="1"/>
  <c r="AP26" i="16"/>
  <c r="AP26" i="18" s="1"/>
  <c r="AP20" i="16"/>
  <c r="AP20" i="18" s="1"/>
  <c r="AP21" i="16"/>
  <c r="AP21" i="18" s="1"/>
  <c r="AF15" i="16"/>
  <c r="AF15" i="18" s="1"/>
  <c r="AF20" i="16"/>
  <c r="AF20" i="18" s="1"/>
  <c r="AF23" i="16"/>
  <c r="AF23" i="18" s="1"/>
  <c r="AF18" i="16"/>
  <c r="AF18" i="18" s="1"/>
  <c r="AF25" i="16"/>
  <c r="AF25" i="18" s="1"/>
  <c r="AF26" i="16"/>
  <c r="AF26" i="18" s="1"/>
  <c r="AF17" i="16"/>
  <c r="AF17" i="18" s="1"/>
  <c r="AF19" i="16"/>
  <c r="AF19" i="18" s="1"/>
  <c r="AF22" i="16"/>
  <c r="AF22" i="18" s="1"/>
  <c r="AF24" i="16"/>
  <c r="AF24" i="18" s="1"/>
  <c r="AF21" i="16"/>
  <c r="AF21" i="18" s="1"/>
  <c r="AF16" i="16"/>
  <c r="AF16" i="18" s="1"/>
  <c r="AE15" i="16"/>
  <c r="AE15" i="18" s="1"/>
  <c r="AE17" i="16"/>
  <c r="AE17" i="18" s="1"/>
  <c r="AE22" i="16"/>
  <c r="AE22" i="18" s="1"/>
  <c r="AE20" i="16"/>
  <c r="AE20" i="18" s="1"/>
  <c r="AE23" i="16"/>
  <c r="AE23" i="18" s="1"/>
  <c r="AE19" i="16"/>
  <c r="AE19" i="18" s="1"/>
  <c r="AE26" i="16"/>
  <c r="AE26" i="18" s="1"/>
  <c r="AE24" i="16"/>
  <c r="AE24" i="18" s="1"/>
  <c r="AE18" i="16"/>
  <c r="AE18" i="18" s="1"/>
  <c r="AE21" i="16"/>
  <c r="AE21" i="18" s="1"/>
  <c r="AE25" i="16"/>
  <c r="AE25" i="18" s="1"/>
  <c r="AE16" i="16"/>
  <c r="AE16" i="18" s="1"/>
  <c r="F690" i="9" a="1"/>
  <c r="F690" i="9" s="1"/>
  <c r="F692" i="9" a="1"/>
  <c r="F692" i="9" s="1"/>
  <c r="AI20" i="16"/>
  <c r="AL20" i="16" s="1"/>
  <c r="AL20" i="18" s="1"/>
  <c r="AI16" i="16"/>
  <c r="AL16" i="16" s="1"/>
  <c r="AL16" i="18" s="1"/>
  <c r="AI21" i="16"/>
  <c r="AL21" i="16" s="1"/>
  <c r="AL21" i="18" s="1"/>
  <c r="AI24" i="16"/>
  <c r="AL24" i="16" s="1"/>
  <c r="AL24" i="18" s="1"/>
  <c r="AI18" i="16"/>
  <c r="AL18" i="16" s="1"/>
  <c r="AL18" i="18" s="1"/>
  <c r="AI17" i="16"/>
  <c r="AL17" i="16" s="1"/>
  <c r="AL17" i="18" s="1"/>
  <c r="AI26" i="16"/>
  <c r="AL26" i="16" s="1"/>
  <c r="AL26" i="18" s="1"/>
  <c r="AI15" i="16"/>
  <c r="AL15" i="16" s="1"/>
  <c r="AL15" i="18" s="1"/>
  <c r="AI25" i="16"/>
  <c r="AL25" i="16" s="1"/>
  <c r="AL25" i="18" s="1"/>
  <c r="AI23" i="16"/>
  <c r="AL23" i="16" s="1"/>
  <c r="AL23" i="18" s="1"/>
  <c r="AI19" i="16"/>
  <c r="AL19" i="16" s="1"/>
  <c r="AL19" i="18" s="1"/>
  <c r="AI22" i="16"/>
  <c r="AL22" i="16" s="1"/>
  <c r="AL22" i="18" s="1"/>
  <c r="AJ23" i="16"/>
  <c r="AN23" i="16" s="1"/>
  <c r="AN23" i="18" s="1"/>
  <c r="AJ17" i="16"/>
  <c r="AN17" i="16" s="1"/>
  <c r="AN17" i="18" s="1"/>
  <c r="AJ25" i="16"/>
  <c r="AN25" i="16" s="1"/>
  <c r="AN25" i="18" s="1"/>
  <c r="AJ26" i="16"/>
  <c r="AN26" i="16" s="1"/>
  <c r="AN26" i="18" s="1"/>
  <c r="AJ16" i="16"/>
  <c r="AN16" i="16" s="1"/>
  <c r="AN16" i="18" s="1"/>
  <c r="AJ19" i="16"/>
  <c r="AN19" i="16" s="1"/>
  <c r="AN19" i="18" s="1"/>
  <c r="AJ24" i="16"/>
  <c r="AN24" i="16" s="1"/>
  <c r="AN24" i="18" s="1"/>
  <c r="AJ21" i="16"/>
  <c r="AN21" i="16" s="1"/>
  <c r="AN21" i="18" s="1"/>
  <c r="AJ20" i="16"/>
  <c r="AN20" i="16" s="1"/>
  <c r="AN20" i="18" s="1"/>
  <c r="AJ18" i="16"/>
  <c r="AN18" i="16" s="1"/>
  <c r="AN18" i="18" s="1"/>
  <c r="AJ22" i="16"/>
  <c r="AN22" i="16" s="1"/>
  <c r="AN22" i="18" s="1"/>
  <c r="AJ15" i="16"/>
  <c r="AN15" i="16" s="1"/>
  <c r="AN15" i="18" s="1"/>
  <c r="E722" i="9" l="1"/>
  <c r="F716" i="9"/>
  <c r="F715" i="9"/>
  <c r="F44" i="9"/>
  <c r="C19" i="15" l="1"/>
  <c r="F722" i="9"/>
  <c r="F723" i="9"/>
  <c r="D19" i="15"/>
  <c r="D35" i="15" s="1"/>
  <c r="C18" i="15"/>
  <c r="F43" i="9"/>
  <c r="F42" i="9"/>
  <c r="F41" i="9" l="1"/>
  <c r="D18" i="15"/>
  <c r="C17" i="15"/>
  <c r="D36" i="15"/>
  <c r="D37" i="15"/>
  <c r="F129" i="9"/>
  <c r="F49" i="9"/>
  <c r="F47" i="9"/>
  <c r="F40" i="9"/>
  <c r="G129" i="9" l="1"/>
  <c r="H129" i="9"/>
  <c r="F50" i="9"/>
  <c r="K157" i="9"/>
  <c r="M157" i="9"/>
  <c r="G157" i="9"/>
  <c r="G155" i="9" s="1"/>
  <c r="F46" i="9"/>
  <c r="E37" i="15"/>
  <c r="U66" i="15" s="1"/>
  <c r="U68" i="15" s="1"/>
  <c r="E36" i="15"/>
  <c r="F36" i="15" s="1"/>
  <c r="J52" i="15"/>
  <c r="K52" i="15"/>
  <c r="K129" i="9"/>
  <c r="F51" i="9"/>
  <c r="F37" i="15" l="1"/>
  <c r="K56" i="15" s="1"/>
  <c r="W66" i="15" s="1"/>
  <c r="W68" i="15" s="1"/>
  <c r="K155" i="9"/>
  <c r="G168" i="9"/>
  <c r="F53" i="9"/>
  <c r="F56" i="9" s="1"/>
  <c r="M155" i="9"/>
  <c r="F54" i="9"/>
  <c r="J57" i="15"/>
  <c r="J53" i="15"/>
  <c r="K57" i="15"/>
  <c r="K53" i="15"/>
  <c r="T66" i="15"/>
  <c r="T68" i="15" s="1"/>
  <c r="E35" i="15"/>
  <c r="J56" i="15"/>
  <c r="V66" i="15" s="1"/>
  <c r="F35" i="15"/>
  <c r="L129" i="9"/>
  <c r="M129" i="9"/>
  <c r="N129" i="9"/>
  <c r="F143" i="9" l="1"/>
  <c r="F52" i="9"/>
  <c r="F57" i="9"/>
  <c r="F144" i="9"/>
  <c r="K168" i="9"/>
  <c r="K170" i="9" s="1"/>
  <c r="K154" i="9"/>
  <c r="L155" i="9"/>
  <c r="M154" i="9"/>
  <c r="N154" i="9" s="1"/>
  <c r="M168" i="9"/>
  <c r="M170" i="9" s="1"/>
  <c r="X66" i="15"/>
  <c r="V68" i="15"/>
  <c r="Q66" i="15"/>
  <c r="Q68" i="15" s="1"/>
  <c r="K58" i="15"/>
  <c r="K59" i="15" s="1"/>
  <c r="J58" i="15"/>
  <c r="J59" i="15" s="1"/>
  <c r="O66" i="15"/>
  <c r="O68" i="15" s="1"/>
  <c r="K143" i="9"/>
  <c r="L143" i="9" s="1"/>
  <c r="F705" i="9"/>
  <c r="F130" i="9"/>
  <c r="C49" i="11" s="1"/>
  <c r="H144" i="9" l="1"/>
  <c r="G144" i="9"/>
  <c r="H143" i="9"/>
  <c r="G143" i="9"/>
  <c r="F131" i="9"/>
  <c r="Z35" i="16"/>
  <c r="AF49" i="11"/>
  <c r="AA49" i="11"/>
  <c r="U49" i="11"/>
  <c r="W49" i="11"/>
  <c r="AP49" i="11"/>
  <c r="AI49" i="11"/>
  <c r="AK49" i="11"/>
  <c r="AE49" i="11"/>
  <c r="E49" i="11"/>
  <c r="AN49" i="11"/>
  <c r="AH49" i="11"/>
  <c r="X49" i="11"/>
  <c r="D49" i="11"/>
  <c r="Q49" i="11"/>
  <c r="AQ49" i="11"/>
  <c r="M49" i="11"/>
  <c r="AL49" i="11"/>
  <c r="G49" i="11"/>
  <c r="R49" i="11"/>
  <c r="O49" i="11"/>
  <c r="AG49" i="11"/>
  <c r="AB49" i="11"/>
  <c r="N49" i="11"/>
  <c r="K49" i="11"/>
  <c r="Z49" i="11"/>
  <c r="Y49" i="11"/>
  <c r="J49" i="11"/>
  <c r="AD49" i="11"/>
  <c r="AC49" i="11"/>
  <c r="I49" i="11"/>
  <c r="V49" i="11"/>
  <c r="L49" i="11"/>
  <c r="H49" i="11"/>
  <c r="AO49" i="11"/>
  <c r="F49" i="11"/>
  <c r="AJ49" i="11"/>
  <c r="AM49" i="11"/>
  <c r="P49" i="11"/>
  <c r="T49" i="11"/>
  <c r="S49" i="11"/>
  <c r="N155" i="9"/>
  <c r="L154" i="9"/>
  <c r="N156" i="9"/>
  <c r="L156" i="9"/>
  <c r="J159" i="9"/>
  <c r="J156" i="9"/>
  <c r="N159" i="9"/>
  <c r="L159" i="9"/>
  <c r="L160" i="9"/>
  <c r="J160" i="9"/>
  <c r="N160" i="9"/>
  <c r="J158" i="9"/>
  <c r="N158" i="9"/>
  <c r="L158" i="9"/>
  <c r="L157" i="9"/>
  <c r="N157" i="9"/>
  <c r="AB35" i="16"/>
  <c r="K144" i="9"/>
  <c r="F706" i="9"/>
  <c r="F55" i="9"/>
  <c r="F132" i="9"/>
  <c r="N143" i="9"/>
  <c r="M143" i="9"/>
  <c r="E610" i="9" l="1" a="1"/>
  <c r="E610" i="9" s="1"/>
  <c r="H132" i="9"/>
  <c r="G132" i="9"/>
  <c r="E615" i="9" a="1"/>
  <c r="E615" i="9" s="1"/>
  <c r="E694" i="9" s="1" a="1"/>
  <c r="E694" i="9" s="1"/>
  <c r="E628" i="9" a="1"/>
  <c r="E628" i="9" s="1"/>
  <c r="M144" i="9"/>
  <c r="L144" i="9"/>
  <c r="N144" i="9"/>
  <c r="C50" i="11"/>
  <c r="F133" i="9"/>
  <c r="F704" i="9"/>
  <c r="I157" i="9"/>
  <c r="C66" i="11"/>
  <c r="AD66" i="11" s="1"/>
  <c r="AD80" i="11" s="1"/>
  <c r="K132" i="9"/>
  <c r="N132" i="9" s="1"/>
  <c r="F679" i="9"/>
  <c r="E693" i="9" l="1"/>
  <c r="E689" i="9" s="1"/>
  <c r="E681" i="9" s="1"/>
  <c r="E665" i="9" s="1"/>
  <c r="E664" i="9" s="1"/>
  <c r="E662" i="9" s="1"/>
  <c r="E663" i="9" s="1"/>
  <c r="E717" i="9"/>
  <c r="H133" i="9"/>
  <c r="G133" i="9"/>
  <c r="J157" i="9"/>
  <c r="I155" i="9"/>
  <c r="F703" i="9"/>
  <c r="F680" i="9"/>
  <c r="F678" i="9" s="1"/>
  <c r="K133" i="9"/>
  <c r="C67" i="11"/>
  <c r="AJ50" i="11"/>
  <c r="U50" i="11"/>
  <c r="J50" i="11"/>
  <c r="Y50" i="11"/>
  <c r="AF50" i="11"/>
  <c r="AN50" i="11"/>
  <c r="X50" i="11"/>
  <c r="N50" i="11"/>
  <c r="H50" i="11"/>
  <c r="Z50" i="11"/>
  <c r="AE50" i="11"/>
  <c r="AM50" i="11"/>
  <c r="Q50" i="11"/>
  <c r="F50" i="11"/>
  <c r="P50" i="11"/>
  <c r="S50" i="11"/>
  <c r="O50" i="11"/>
  <c r="L50" i="11"/>
  <c r="AI50" i="11"/>
  <c r="V50" i="11"/>
  <c r="AL50" i="11"/>
  <c r="AB50" i="11"/>
  <c r="M50" i="11"/>
  <c r="T50" i="11"/>
  <c r="I50" i="11"/>
  <c r="D50" i="11"/>
  <c r="W50" i="11"/>
  <c r="G50" i="11"/>
  <c r="AQ50" i="11"/>
  <c r="AD50" i="11"/>
  <c r="AP50" i="11"/>
  <c r="R50" i="11"/>
  <c r="E50" i="11"/>
  <c r="K50" i="11"/>
  <c r="AA50" i="11"/>
  <c r="AO50" i="11"/>
  <c r="AC50" i="11"/>
  <c r="AG50" i="11"/>
  <c r="AH50" i="11"/>
  <c r="AK50" i="11"/>
  <c r="E157" i="9"/>
  <c r="M132" i="9"/>
  <c r="S66" i="11"/>
  <c r="S80" i="11" s="1"/>
  <c r="L132" i="9"/>
  <c r="M66" i="11"/>
  <c r="M80" i="11" s="1"/>
  <c r="V66" i="11"/>
  <c r="V80" i="11" s="1"/>
  <c r="D66" i="11"/>
  <c r="AA66" i="11"/>
  <c r="AA80" i="11" s="1"/>
  <c r="Z6" i="16"/>
  <c r="Z6" i="18" s="1"/>
  <c r="G66" i="11"/>
  <c r="Z12" i="16" s="1"/>
  <c r="Z12" i="18" s="1"/>
  <c r="Q66" i="11"/>
  <c r="Q80" i="11" s="1"/>
  <c r="AB66" i="11"/>
  <c r="AB80" i="11" s="1"/>
  <c r="K66" i="11"/>
  <c r="K80" i="11" s="1"/>
  <c r="F66" i="11"/>
  <c r="Z11" i="16" s="1"/>
  <c r="Z11" i="18" s="1"/>
  <c r="AH66" i="11"/>
  <c r="AH80" i="11" s="1"/>
  <c r="O66" i="11"/>
  <c r="O80" i="11" s="1"/>
  <c r="AJ66" i="11"/>
  <c r="AJ80" i="11" s="1"/>
  <c r="T66" i="11"/>
  <c r="AL66" i="11"/>
  <c r="AL80" i="11" s="1"/>
  <c r="AF66" i="11"/>
  <c r="AF80" i="11" s="1"/>
  <c r="AG66" i="11"/>
  <c r="AG80" i="11" s="1"/>
  <c r="AI66" i="11"/>
  <c r="AI80" i="11" s="1"/>
  <c r="AE66" i="11"/>
  <c r="AE80" i="11" s="1"/>
  <c r="H66" i="11"/>
  <c r="AC66" i="11"/>
  <c r="AC80" i="11" s="1"/>
  <c r="W66" i="11"/>
  <c r="W80" i="11" s="1"/>
  <c r="L66" i="11"/>
  <c r="L80" i="11" s="1"/>
  <c r="AK66" i="11"/>
  <c r="AK80" i="11" s="1"/>
  <c r="C80" i="11"/>
  <c r="Z66" i="11"/>
  <c r="Z80" i="11" s="1"/>
  <c r="P66" i="11"/>
  <c r="P80" i="11" s="1"/>
  <c r="E66" i="11"/>
  <c r="Z10" i="16" s="1"/>
  <c r="Z10" i="18" s="1"/>
  <c r="AM66" i="11"/>
  <c r="AM80" i="11" s="1"/>
  <c r="N66" i="11"/>
  <c r="N80" i="11" s="1"/>
  <c r="I66" i="11"/>
  <c r="I80" i="11" s="1"/>
  <c r="U66" i="11"/>
  <c r="U80" i="11" s="1"/>
  <c r="AP66" i="11"/>
  <c r="AP80" i="11" s="1"/>
  <c r="R66" i="11"/>
  <c r="R80" i="11" s="1"/>
  <c r="AN66" i="11"/>
  <c r="AN80" i="11" s="1"/>
  <c r="J66" i="11"/>
  <c r="J80" i="11" s="1"/>
  <c r="X66" i="11"/>
  <c r="X80" i="11" s="1"/>
  <c r="AQ66" i="11"/>
  <c r="AQ80" i="11" s="1"/>
  <c r="AO66" i="11"/>
  <c r="AO80" i="11" s="1"/>
  <c r="Y66" i="11"/>
  <c r="Y80" i="11" s="1"/>
  <c r="F628" i="9" l="1" a="1"/>
  <c r="F628" i="9" s="1"/>
  <c r="E155" i="9"/>
  <c r="F615" i="9" a="1"/>
  <c r="F615" i="9" s="1"/>
  <c r="Z9" i="16"/>
  <c r="Z9" i="18" s="1"/>
  <c r="F610" i="9" a="1"/>
  <c r="F610" i="9" s="1"/>
  <c r="E724" i="9"/>
  <c r="E727" i="9" s="1"/>
  <c r="E714" i="9"/>
  <c r="AB6" i="16"/>
  <c r="AB6" i="18" s="1"/>
  <c r="AE67" i="11"/>
  <c r="AE81" i="11" s="1"/>
  <c r="W67" i="11"/>
  <c r="W81" i="11" s="1"/>
  <c r="D67" i="11"/>
  <c r="R67" i="11"/>
  <c r="R81" i="11" s="1"/>
  <c r="C81" i="11"/>
  <c r="AJ67" i="11"/>
  <c r="AJ81" i="11" s="1"/>
  <c r="AL67" i="11"/>
  <c r="AL81" i="11" s="1"/>
  <c r="S67" i="11"/>
  <c r="S81" i="11" s="1"/>
  <c r="I67" i="11"/>
  <c r="I81" i="11" s="1"/>
  <c r="J67" i="11"/>
  <c r="J81" i="11" s="1"/>
  <c r="O67" i="11"/>
  <c r="O81" i="11" s="1"/>
  <c r="AA67" i="11"/>
  <c r="AA81" i="11" s="1"/>
  <c r="AG67" i="11"/>
  <c r="AG81" i="11" s="1"/>
  <c r="L67" i="11"/>
  <c r="L81" i="11" s="1"/>
  <c r="AK67" i="11"/>
  <c r="AK81" i="11" s="1"/>
  <c r="Z67" i="11"/>
  <c r="Z81" i="11" s="1"/>
  <c r="H67" i="11"/>
  <c r="AQ67" i="11"/>
  <c r="AQ81" i="11" s="1"/>
  <c r="AI67" i="11"/>
  <c r="AI81" i="11" s="1"/>
  <c r="Y67" i="11"/>
  <c r="Y81" i="11" s="1"/>
  <c r="X67" i="11"/>
  <c r="X81" i="11" s="1"/>
  <c r="AM67" i="11"/>
  <c r="AM81" i="11" s="1"/>
  <c r="AH67" i="11"/>
  <c r="AH81" i="11" s="1"/>
  <c r="K67" i="11"/>
  <c r="K81" i="11" s="1"/>
  <c r="V67" i="11"/>
  <c r="V81" i="11" s="1"/>
  <c r="N67" i="11"/>
  <c r="N81" i="11" s="1"/>
  <c r="AP67" i="11"/>
  <c r="AP81" i="11" s="1"/>
  <c r="G67" i="11"/>
  <c r="AO67" i="11"/>
  <c r="AO81" i="11" s="1"/>
  <c r="F67" i="11"/>
  <c r="AB67" i="11"/>
  <c r="AB81" i="11" s="1"/>
  <c r="T67" i="11"/>
  <c r="AF67" i="11"/>
  <c r="AF81" i="11" s="1"/>
  <c r="P67" i="11"/>
  <c r="P81" i="11" s="1"/>
  <c r="Q67" i="11"/>
  <c r="Q81" i="11" s="1"/>
  <c r="AN67" i="11"/>
  <c r="AN81" i="11" s="1"/>
  <c r="AC67" i="11"/>
  <c r="AC81" i="11" s="1"/>
  <c r="E67" i="11"/>
  <c r="AD67" i="11"/>
  <c r="AD81" i="11" s="1"/>
  <c r="M67" i="11"/>
  <c r="M81" i="11" s="1"/>
  <c r="U67" i="11"/>
  <c r="U81" i="11" s="1"/>
  <c r="M133" i="9"/>
  <c r="L133" i="9"/>
  <c r="N133" i="9"/>
  <c r="I168" i="9"/>
  <c r="I170" i="9" s="1"/>
  <c r="J155" i="9"/>
  <c r="I154" i="9"/>
  <c r="J154" i="9" s="1"/>
  <c r="F718" i="9"/>
  <c r="D80" i="11"/>
  <c r="G80" i="11"/>
  <c r="E80" i="11"/>
  <c r="F80" i="11"/>
  <c r="T80" i="11"/>
  <c r="AA15" i="16" a="1"/>
  <c r="H80" i="11"/>
  <c r="Z15" i="16" a="1"/>
  <c r="E168" i="9" l="1"/>
  <c r="AB10" i="16"/>
  <c r="AB10" i="18" s="1"/>
  <c r="E81" i="11"/>
  <c r="AB11" i="16"/>
  <c r="AB11" i="18" s="1"/>
  <c r="F81" i="11"/>
  <c r="T81" i="11"/>
  <c r="AC15" i="16" a="1"/>
  <c r="AB12" i="16"/>
  <c r="AB12" i="18" s="1"/>
  <c r="G81" i="11"/>
  <c r="AB9" i="16"/>
  <c r="AB9" i="18" s="1"/>
  <c r="D81" i="11"/>
  <c r="H81" i="11"/>
  <c r="AB15" i="16" a="1"/>
  <c r="Z15" i="16"/>
  <c r="Z15" i="18" s="1"/>
  <c r="Z22" i="16"/>
  <c r="Z22" i="18" s="1"/>
  <c r="Z24" i="16"/>
  <c r="Z24" i="18" s="1"/>
  <c r="Z16" i="16"/>
  <c r="Z16" i="18" s="1"/>
  <c r="Z19" i="16"/>
  <c r="Z19" i="18" s="1"/>
  <c r="Z20" i="16"/>
  <c r="Z20" i="18" s="1"/>
  <c r="Z26" i="16"/>
  <c r="Z26" i="18" s="1"/>
  <c r="Z23" i="16"/>
  <c r="Z23" i="18" s="1"/>
  <c r="Z18" i="16"/>
  <c r="Z18" i="18" s="1"/>
  <c r="Z21" i="16"/>
  <c r="Z21" i="18" s="1"/>
  <c r="Z25" i="16"/>
  <c r="Z25" i="18" s="1"/>
  <c r="Z17" i="16"/>
  <c r="Z17" i="18" s="1"/>
  <c r="AA15" i="16"/>
  <c r="AA15" i="18" s="1"/>
  <c r="AA20" i="16"/>
  <c r="AA20" i="18" s="1"/>
  <c r="AA18" i="16"/>
  <c r="AA18" i="18" s="1"/>
  <c r="AA19" i="16"/>
  <c r="AA19" i="18" s="1"/>
  <c r="AA25" i="16"/>
  <c r="AA25" i="18" s="1"/>
  <c r="AA24" i="16"/>
  <c r="AA24" i="18" s="1"/>
  <c r="AA17" i="16"/>
  <c r="AA17" i="18" s="1"/>
  <c r="AA26" i="16"/>
  <c r="AA26" i="18" s="1"/>
  <c r="AA22" i="16"/>
  <c r="AA22" i="18" s="1"/>
  <c r="AA16" i="16"/>
  <c r="AA16" i="18" s="1"/>
  <c r="AA21" i="16"/>
  <c r="AA21" i="18" s="1"/>
  <c r="AA23" i="16"/>
  <c r="AA23" i="18" s="1"/>
  <c r="F694" i="9" a="1"/>
  <c r="F694" i="9" s="1"/>
  <c r="AC19" i="16" l="1"/>
  <c r="AC19" i="18" s="1"/>
  <c r="AC24" i="16"/>
  <c r="AC24" i="18" s="1"/>
  <c r="AC25" i="16"/>
  <c r="AC25" i="18" s="1"/>
  <c r="AC20" i="16"/>
  <c r="AC20" i="18" s="1"/>
  <c r="AC26" i="16"/>
  <c r="AC26" i="18" s="1"/>
  <c r="AC17" i="16"/>
  <c r="AC17" i="18" s="1"/>
  <c r="AC23" i="16"/>
  <c r="AC23" i="18" s="1"/>
  <c r="AC15" i="16"/>
  <c r="AC15" i="18" s="1"/>
  <c r="AC22" i="16"/>
  <c r="AC22" i="18" s="1"/>
  <c r="AC21" i="16"/>
  <c r="AC21" i="18" s="1"/>
  <c r="AC18" i="16"/>
  <c r="AC18" i="18" s="1"/>
  <c r="AC16" i="16"/>
  <c r="AC16" i="18" s="1"/>
  <c r="AB23" i="16"/>
  <c r="AB23" i="18" s="1"/>
  <c r="AB15" i="16"/>
  <c r="AB15" i="18" s="1"/>
  <c r="AB24" i="16"/>
  <c r="AB24" i="18" s="1"/>
  <c r="AB17" i="16"/>
  <c r="AB17" i="18" s="1"/>
  <c r="AB26" i="16"/>
  <c r="AB26" i="18" s="1"/>
  <c r="AB25" i="16"/>
  <c r="AB25" i="18" s="1"/>
  <c r="AB19" i="16"/>
  <c r="AB19" i="18" s="1"/>
  <c r="AB21" i="16"/>
  <c r="AB21" i="18" s="1"/>
  <c r="AB18" i="16"/>
  <c r="AB18" i="18" s="1"/>
  <c r="AB22" i="16"/>
  <c r="AB22" i="18" s="1"/>
  <c r="AB16" i="16"/>
  <c r="AB16" i="18" s="1"/>
  <c r="AB20" i="16"/>
  <c r="AB20" i="18" s="1"/>
  <c r="F717" i="9"/>
  <c r="F693" i="9"/>
  <c r="F689" i="9" s="1"/>
  <c r="F681" i="9" l="1"/>
  <c r="F724" i="9"/>
  <c r="AP42" i="11" l="1"/>
  <c r="AN42" i="11"/>
  <c r="S42" i="11"/>
  <c r="AH42" i="11"/>
  <c r="AB42" i="11"/>
  <c r="AO42" i="11"/>
  <c r="O42" i="11"/>
  <c r="Z42" i="11"/>
  <c r="AG42" i="11"/>
  <c r="R42" i="11"/>
  <c r="Q42" i="11"/>
  <c r="AA42" i="11"/>
  <c r="V42" i="11"/>
  <c r="J42" i="11"/>
  <c r="F42" i="11"/>
  <c r="AE42" i="11"/>
  <c r="AJ42" i="11"/>
  <c r="X42" i="11"/>
  <c r="AD42" i="11"/>
  <c r="M42" i="11"/>
  <c r="D42" i="11"/>
  <c r="AC42" i="11"/>
  <c r="AI42" i="11"/>
  <c r="I42" i="11"/>
  <c r="AF42" i="11"/>
  <c r="E42" i="11"/>
  <c r="AM42" i="11"/>
  <c r="P42" i="11"/>
  <c r="N42" i="11"/>
  <c r="T42" i="11"/>
  <c r="W42" i="11"/>
  <c r="AK42" i="11"/>
  <c r="AL42" i="11"/>
  <c r="Y42" i="11"/>
  <c r="H42" i="11"/>
  <c r="AQ42" i="11"/>
  <c r="K42" i="11"/>
  <c r="U42" i="11"/>
  <c r="L42" i="11"/>
  <c r="G42" i="11"/>
  <c r="F197" i="9"/>
  <c r="F173" i="9"/>
  <c r="F205" i="9"/>
  <c r="F210" i="9"/>
  <c r="F214" i="9" s="1"/>
  <c r="I145" i="9"/>
  <c r="I146" i="9" s="1"/>
  <c r="J145" i="9"/>
  <c r="C47" i="11"/>
  <c r="O47" i="11" s="1"/>
  <c r="K47" i="11" l="1"/>
  <c r="AQ47" i="11"/>
  <c r="F47" i="11"/>
  <c r="AD47" i="11"/>
  <c r="AO47" i="11"/>
  <c r="AN47" i="11"/>
  <c r="V47" i="11"/>
  <c r="AC47" i="11"/>
  <c r="N47" i="11"/>
  <c r="Y47" i="11"/>
  <c r="AA47" i="11"/>
  <c r="AJ47" i="11"/>
  <c r="L47" i="11"/>
  <c r="AI47" i="11"/>
  <c r="AH47" i="11"/>
  <c r="F202" i="9"/>
  <c r="F206" i="9" s="1"/>
  <c r="M47" i="11"/>
  <c r="Q47" i="11"/>
  <c r="E47" i="11"/>
  <c r="G47" i="11"/>
  <c r="AL47" i="11"/>
  <c r="T47" i="11"/>
  <c r="AE47" i="11"/>
  <c r="AF47" i="11"/>
  <c r="AG47" i="11"/>
  <c r="S47" i="11"/>
  <c r="AM47" i="11"/>
  <c r="H47" i="11"/>
  <c r="AB47" i="11"/>
  <c r="P47" i="11"/>
  <c r="W47" i="11"/>
  <c r="I47" i="11"/>
  <c r="J47" i="11"/>
  <c r="AK47" i="11"/>
  <c r="D47" i="11"/>
  <c r="AP47" i="11"/>
  <c r="R47" i="11"/>
  <c r="U47" i="11"/>
  <c r="X47" i="11"/>
  <c r="Z47" i="11"/>
  <c r="E197" i="9" l="1"/>
  <c r="E198" i="9" l="1"/>
  <c r="E194" i="9" s="1"/>
  <c r="E195" i="9" s="1"/>
  <c r="F122" i="9"/>
  <c r="L44" i="15" s="1"/>
  <c r="G159" i="9"/>
  <c r="F198" i="9"/>
  <c r="F670" i="9" l="1"/>
  <c r="F127" i="9"/>
  <c r="K122" i="9"/>
  <c r="N122" i="9" s="1"/>
  <c r="C59" i="11"/>
  <c r="I59" i="11" s="1"/>
  <c r="I73" i="11" s="1"/>
  <c r="G122" i="9"/>
  <c r="H122" i="9"/>
  <c r="E159" i="9"/>
  <c r="M44" i="15"/>
  <c r="M48" i="15" s="1"/>
  <c r="M49" i="15" s="1"/>
  <c r="M51" i="15" s="1"/>
  <c r="L48" i="15"/>
  <c r="L122" i="9"/>
  <c r="U59" i="11"/>
  <c r="U73" i="11" s="1"/>
  <c r="AG59" i="11"/>
  <c r="AG73" i="11" s="1"/>
  <c r="D59" i="11"/>
  <c r="R59" i="11"/>
  <c r="R73" i="11" s="1"/>
  <c r="AF59" i="11"/>
  <c r="AF73" i="11" s="1"/>
  <c r="L59" i="11"/>
  <c r="L73" i="11" s="1"/>
  <c r="Z59" i="11"/>
  <c r="Z73" i="11" s="1"/>
  <c r="F676" i="9"/>
  <c r="AL59" i="11"/>
  <c r="AL73" i="11" s="1"/>
  <c r="M50" i="15" l="1"/>
  <c r="J59" i="11"/>
  <c r="T59" i="11"/>
  <c r="K59" i="11"/>
  <c r="K73" i="11" s="1"/>
  <c r="AD59" i="11"/>
  <c r="AD73" i="11" s="1"/>
  <c r="AQ59" i="11"/>
  <c r="AQ73" i="11" s="1"/>
  <c r="M59" i="11"/>
  <c r="M73" i="11" s="1"/>
  <c r="V59" i="11"/>
  <c r="V73" i="11" s="1"/>
  <c r="N48" i="15"/>
  <c r="E59" i="11"/>
  <c r="F710" i="9"/>
  <c r="F707" i="9" s="1"/>
  <c r="F721" i="9" s="1"/>
  <c r="F727" i="9" s="1"/>
  <c r="F728" i="9" s="1"/>
  <c r="F667" i="9"/>
  <c r="AM59" i="11"/>
  <c r="AM73" i="11" s="1"/>
  <c r="AJ59" i="11"/>
  <c r="AJ73" i="11" s="1"/>
  <c r="AA59" i="11"/>
  <c r="AA73" i="11" s="1"/>
  <c r="G59" i="11"/>
  <c r="AB59" i="11"/>
  <c r="AB73" i="11" s="1"/>
  <c r="F6" i="16"/>
  <c r="F6" i="18" s="1"/>
  <c r="P59" i="11"/>
  <c r="P73" i="11" s="1"/>
  <c r="C73" i="11"/>
  <c r="N59" i="11"/>
  <c r="N73" i="11" s="1"/>
  <c r="H59" i="11"/>
  <c r="H73" i="11" s="1"/>
  <c r="X59" i="11"/>
  <c r="X73" i="11" s="1"/>
  <c r="AO59" i="11"/>
  <c r="AO73" i="11" s="1"/>
  <c r="S59" i="11"/>
  <c r="S73" i="11" s="1"/>
  <c r="Q59" i="11"/>
  <c r="Q73" i="11" s="1"/>
  <c r="O59" i="11"/>
  <c r="O73" i="11" s="1"/>
  <c r="Y59" i="11"/>
  <c r="Y73" i="11" s="1"/>
  <c r="AN59" i="11"/>
  <c r="AN73" i="11" s="1"/>
  <c r="AK59" i="11"/>
  <c r="AK73" i="11" s="1"/>
  <c r="AP59" i="11"/>
  <c r="AP73" i="11" s="1"/>
  <c r="AH59" i="11"/>
  <c r="AH73" i="11" s="1"/>
  <c r="AC59" i="11"/>
  <c r="AC73" i="11" s="1"/>
  <c r="AI59" i="11"/>
  <c r="AI73" i="11" s="1"/>
  <c r="W59" i="11"/>
  <c r="W73" i="11" s="1"/>
  <c r="M122" i="9"/>
  <c r="H190" i="9"/>
  <c r="F59" i="11"/>
  <c r="AE59" i="11"/>
  <c r="AE73" i="11" s="1"/>
  <c r="C64" i="11"/>
  <c r="E160" i="9"/>
  <c r="F86" i="9"/>
  <c r="F87" i="9" s="1"/>
  <c r="G127" i="9"/>
  <c r="H127" i="9"/>
  <c r="G160" i="9"/>
  <c r="K127" i="9"/>
  <c r="E73" i="11"/>
  <c r="F10" i="16"/>
  <c r="F10" i="18" s="1"/>
  <c r="D73" i="11"/>
  <c r="F9" i="16"/>
  <c r="F9" i="18" s="1"/>
  <c r="L49" i="15"/>
  <c r="L51" i="15" s="1"/>
  <c r="L50" i="15"/>
  <c r="L52" i="15" s="1"/>
  <c r="F11" i="16"/>
  <c r="F11" i="18" s="1"/>
  <c r="F73" i="11"/>
  <c r="F15" i="16" a="1"/>
  <c r="J73" i="11"/>
  <c r="T73" i="11"/>
  <c r="F719" i="9"/>
  <c r="F714" i="9" s="1"/>
  <c r="F674" i="9"/>
  <c r="F666" i="9" s="1"/>
  <c r="F665" i="9" s="1"/>
  <c r="F664" i="9" s="1"/>
  <c r="F662" i="9" s="1"/>
  <c r="F663" i="9" s="1"/>
  <c r="M52" i="15"/>
  <c r="N50" i="15"/>
  <c r="H15" i="16" l="1" a="1"/>
  <c r="E158" i="9"/>
  <c r="F12" i="16"/>
  <c r="F12" i="18" s="1"/>
  <c r="G73" i="11"/>
  <c r="G15" i="16" a="1"/>
  <c r="G16" i="16" s="1"/>
  <c r="G16" i="18" s="1"/>
  <c r="N127" i="9"/>
  <c r="L127" i="9"/>
  <c r="L145" i="9" s="1"/>
  <c r="M127" i="9"/>
  <c r="M145" i="9" s="1"/>
  <c r="K145" i="9"/>
  <c r="K146" i="9" s="1"/>
  <c r="V64" i="11"/>
  <c r="V78" i="11" s="1"/>
  <c r="AO64" i="11"/>
  <c r="AO78" i="11" s="1"/>
  <c r="L64" i="11"/>
  <c r="L78" i="11" s="1"/>
  <c r="P64" i="11"/>
  <c r="P78" i="11" s="1"/>
  <c r="S64" i="11"/>
  <c r="S78" i="11" s="1"/>
  <c r="Y64" i="11"/>
  <c r="Y78" i="11" s="1"/>
  <c r="G64" i="11"/>
  <c r="AI64" i="11"/>
  <c r="AI78" i="11" s="1"/>
  <c r="X64" i="11"/>
  <c r="X78" i="11" s="1"/>
  <c r="W64" i="11"/>
  <c r="W78" i="11" s="1"/>
  <c r="AB64" i="11"/>
  <c r="AB78" i="11" s="1"/>
  <c r="AJ64" i="11"/>
  <c r="AJ78" i="11" s="1"/>
  <c r="AM64" i="11"/>
  <c r="AM78" i="11" s="1"/>
  <c r="T64" i="11"/>
  <c r="K64" i="11"/>
  <c r="K78" i="11" s="1"/>
  <c r="AD64" i="11"/>
  <c r="AD78" i="11" s="1"/>
  <c r="AQ64" i="11"/>
  <c r="AQ78" i="11" s="1"/>
  <c r="O64" i="11"/>
  <c r="O78" i="11" s="1"/>
  <c r="H64" i="11"/>
  <c r="AC64" i="11"/>
  <c r="AC78" i="11" s="1"/>
  <c r="AL64" i="11"/>
  <c r="AL78" i="11" s="1"/>
  <c r="J64" i="11"/>
  <c r="J78" i="11" s="1"/>
  <c r="AF64" i="11"/>
  <c r="AF78" i="11" s="1"/>
  <c r="AP64" i="11"/>
  <c r="AP78" i="11" s="1"/>
  <c r="D64" i="11"/>
  <c r="C78" i="11"/>
  <c r="AN64" i="11"/>
  <c r="AN78" i="11" s="1"/>
  <c r="M64" i="11"/>
  <c r="M78" i="11" s="1"/>
  <c r="AG6" i="16"/>
  <c r="AG6" i="18" s="1"/>
  <c r="AE64" i="11"/>
  <c r="AE78" i="11" s="1"/>
  <c r="AG64" i="11"/>
  <c r="AG78" i="11" s="1"/>
  <c r="N64" i="11"/>
  <c r="N78" i="11" s="1"/>
  <c r="U64" i="11"/>
  <c r="U78" i="11" s="1"/>
  <c r="Q64" i="11"/>
  <c r="Q78" i="11" s="1"/>
  <c r="AA64" i="11"/>
  <c r="AA78" i="11" s="1"/>
  <c r="F64" i="11"/>
  <c r="AK64" i="11"/>
  <c r="AK78" i="11" s="1"/>
  <c r="E64" i="11"/>
  <c r="AH64" i="11"/>
  <c r="AH78" i="11" s="1"/>
  <c r="I64" i="11"/>
  <c r="I78" i="11" s="1"/>
  <c r="R64" i="11"/>
  <c r="R78" i="11" s="1"/>
  <c r="Z64" i="11"/>
  <c r="Z78" i="11" s="1"/>
  <c r="G158" i="9"/>
  <c r="G190" i="9"/>
  <c r="H197" i="9"/>
  <c r="H201" i="9"/>
  <c r="H209" i="9"/>
  <c r="L57" i="15"/>
  <c r="L58" i="15" s="1"/>
  <c r="D66" i="15" s="1"/>
  <c r="D68" i="15" s="1"/>
  <c r="L53" i="15"/>
  <c r="L59" i="15" s="1"/>
  <c r="G19" i="16"/>
  <c r="G19" i="18" s="1"/>
  <c r="G17" i="16"/>
  <c r="G17" i="18" s="1"/>
  <c r="G25" i="16"/>
  <c r="G25" i="18" s="1"/>
  <c r="G18" i="16"/>
  <c r="G18" i="18" s="1"/>
  <c r="G23" i="16"/>
  <c r="G23" i="18" s="1"/>
  <c r="G15" i="16"/>
  <c r="G15" i="18" s="1"/>
  <c r="G21" i="16"/>
  <c r="G21" i="18" s="1"/>
  <c r="N52" i="15"/>
  <c r="M53" i="15"/>
  <c r="M59" i="15" s="1"/>
  <c r="M57" i="15"/>
  <c r="K66" i="15"/>
  <c r="F22" i="16"/>
  <c r="F22" i="18" s="1"/>
  <c r="F19" i="16"/>
  <c r="F19" i="18" s="1"/>
  <c r="F23" i="16"/>
  <c r="F23" i="18" s="1"/>
  <c r="F21" i="16"/>
  <c r="F21" i="18" s="1"/>
  <c r="F18" i="16"/>
  <c r="F18" i="18" s="1"/>
  <c r="F24" i="16"/>
  <c r="F24" i="18" s="1"/>
  <c r="F25" i="16"/>
  <c r="F25" i="18" s="1"/>
  <c r="F20" i="16"/>
  <c r="F20" i="18" s="1"/>
  <c r="F16" i="16"/>
  <c r="F16" i="18" s="1"/>
  <c r="F17" i="16"/>
  <c r="F17" i="18" s="1"/>
  <c r="F26" i="16"/>
  <c r="F26" i="18" s="1"/>
  <c r="F15" i="16"/>
  <c r="F15" i="18" s="1"/>
  <c r="H15" i="16"/>
  <c r="H15" i="18" s="1"/>
  <c r="H20" i="16"/>
  <c r="H20" i="18" s="1"/>
  <c r="H22" i="16"/>
  <c r="H22" i="18" s="1"/>
  <c r="H21" i="16"/>
  <c r="H21" i="18" s="1"/>
  <c r="H25" i="16"/>
  <c r="H25" i="18" s="1"/>
  <c r="H24" i="16"/>
  <c r="H24" i="18" s="1"/>
  <c r="H16" i="16"/>
  <c r="H16" i="18" s="1"/>
  <c r="H26" i="16"/>
  <c r="H26" i="18" s="1"/>
  <c r="H19" i="16"/>
  <c r="H19" i="18" s="1"/>
  <c r="H17" i="16"/>
  <c r="H17" i="18" s="1"/>
  <c r="H23" i="16"/>
  <c r="H23" i="18" s="1"/>
  <c r="H18" i="16"/>
  <c r="H18" i="18" s="1"/>
  <c r="G26" i="16" l="1"/>
  <c r="G26" i="18" s="1"/>
  <c r="G22" i="16"/>
  <c r="G22" i="18" s="1"/>
  <c r="G20" i="16"/>
  <c r="G20" i="18" s="1"/>
  <c r="G24" i="16"/>
  <c r="G24" i="18" s="1"/>
  <c r="G78" i="11"/>
  <c r="AG12" i="16"/>
  <c r="AG12" i="18" s="1"/>
  <c r="AG10" i="16"/>
  <c r="AG10" i="18" s="1"/>
  <c r="E78" i="11"/>
  <c r="AH15" i="16" a="1"/>
  <c r="T78" i="11"/>
  <c r="G191" i="9"/>
  <c r="G197" i="9"/>
  <c r="F78" i="11"/>
  <c r="AG11" i="16"/>
  <c r="AG11" i="18" s="1"/>
  <c r="G169" i="9"/>
  <c r="G170" i="9" s="1"/>
  <c r="G154" i="9"/>
  <c r="H158" i="9" s="1"/>
  <c r="H78" i="11"/>
  <c r="AG15" i="16" a="1"/>
  <c r="H205" i="9"/>
  <c r="H202" i="9"/>
  <c r="H206" i="9" s="1"/>
  <c r="AG9" i="16"/>
  <c r="AG9" i="18" s="1"/>
  <c r="D78" i="11"/>
  <c r="H213" i="9"/>
  <c r="H210" i="9"/>
  <c r="H214" i="9" s="1"/>
  <c r="E154" i="9"/>
  <c r="F158" i="9" s="1"/>
  <c r="E169" i="9"/>
  <c r="E170" i="9" s="1"/>
  <c r="K68" i="15"/>
  <c r="S66" i="15"/>
  <c r="Y66" i="15" s="1"/>
  <c r="M58" i="15"/>
  <c r="N58" i="15" s="1"/>
  <c r="N57" i="15"/>
  <c r="AG22" i="16" l="1"/>
  <c r="AG22" i="18" s="1"/>
  <c r="AG26" i="16"/>
  <c r="AG26" i="18" s="1"/>
  <c r="AG19" i="16"/>
  <c r="AG19" i="18" s="1"/>
  <c r="AG17" i="16"/>
  <c r="AG17" i="18" s="1"/>
  <c r="AG18" i="16"/>
  <c r="AG18" i="18" s="1"/>
  <c r="AG23" i="16"/>
  <c r="AG23" i="18" s="1"/>
  <c r="AG15" i="16"/>
  <c r="AG15" i="18" s="1"/>
  <c r="AG21" i="16"/>
  <c r="AG21" i="18" s="1"/>
  <c r="AG20" i="16"/>
  <c r="AG20" i="18" s="1"/>
  <c r="AG25" i="16"/>
  <c r="AG25" i="18" s="1"/>
  <c r="AG24" i="16"/>
  <c r="AG24" i="18" s="1"/>
  <c r="AG16" i="16"/>
  <c r="AG16" i="18" s="1"/>
  <c r="G198" i="9"/>
  <c r="G194" i="9" s="1"/>
  <c r="G195" i="9" s="1"/>
  <c r="H191" i="9"/>
  <c r="H198" i="9" s="1"/>
  <c r="AH16" i="16"/>
  <c r="AH16" i="18" s="1"/>
  <c r="AH19" i="16"/>
  <c r="AH19" i="18" s="1"/>
  <c r="AH15" i="16"/>
  <c r="AH15" i="18" s="1"/>
  <c r="AH20" i="16"/>
  <c r="AH20" i="18" s="1"/>
  <c r="AH23" i="16"/>
  <c r="AH23" i="18" s="1"/>
  <c r="AH25" i="16"/>
  <c r="AH25" i="18" s="1"/>
  <c r="AH26" i="16"/>
  <c r="AH26" i="18" s="1"/>
  <c r="AH22" i="16"/>
  <c r="AH22" i="18" s="1"/>
  <c r="AH17" i="16"/>
  <c r="AH17" i="18" s="1"/>
  <c r="AH24" i="16"/>
  <c r="AH24" i="18" s="1"/>
  <c r="AH18" i="16"/>
  <c r="AH18" i="18" s="1"/>
  <c r="AH21" i="16"/>
  <c r="AH21" i="18" s="1"/>
  <c r="F157" i="9"/>
  <c r="F155" i="9"/>
  <c r="F156" i="9"/>
  <c r="F154" i="9"/>
  <c r="F159" i="9"/>
  <c r="F160" i="9"/>
  <c r="H156" i="9"/>
  <c r="H159" i="9"/>
  <c r="H157" i="9"/>
  <c r="H154" i="9"/>
  <c r="H155" i="9"/>
  <c r="H160"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<sst xmlns="http://schemas.openxmlformats.org/spreadsheetml/2006/main" count="2050" uniqueCount="508">
  <si>
    <t>%</t>
  </si>
  <si>
    <t>TEUR</t>
  </si>
  <si>
    <t>-</t>
  </si>
  <si>
    <t>EUR/MWh</t>
  </si>
  <si>
    <t>Tariff year</t>
  </si>
  <si>
    <t>M</t>
  </si>
  <si>
    <t>(LV&gt;LT) Kiemėnai Entry Point</t>
  </si>
  <si>
    <t>(LNGT&gt;LT) Klaipėda Entry Point</t>
  </si>
  <si>
    <t>(LT&gt;LV) Kiemėnai Exit Point</t>
  </si>
  <si>
    <t>(LT&gt;RU) Šakiai Exit Point</t>
  </si>
  <si>
    <t xml:space="preserve">(LT) Domestic Exit Point </t>
  </si>
  <si>
    <t xml:space="preserve"> EUR</t>
  </si>
  <si>
    <t xml:space="preserve"> %</t>
  </si>
  <si>
    <t>(BY&gt;LT) Kotlovka Entry Point (restricted capacity product)</t>
  </si>
  <si>
    <t>ADDITIONAL INFO FOR CHECKING OR CALCULATION OF AVERAGE TARIFFS FOR LITHANIAN NEEDS PURPOSES:</t>
  </si>
  <si>
    <r>
      <t xml:space="preserve">Forecast of TOTAL REVENUE TO BE COLLECTED </t>
    </r>
    <r>
      <rPr>
        <sz val="11"/>
        <color theme="1"/>
        <rFont val="Calibri"/>
        <family val="2"/>
        <charset val="186"/>
        <scheme val="minor"/>
      </rPr>
      <t>(under the tariffs)</t>
    </r>
  </si>
  <si>
    <t>TOTAL AR:</t>
  </si>
  <si>
    <t xml:space="preserve">TRANSMISSION VIA PRIMARY NETWORK SERVICES: </t>
  </si>
  <si>
    <t xml:space="preserve">For Capacity-based tariffs: </t>
  </si>
  <si>
    <t xml:space="preserve">   for firm yearly capacity products:</t>
  </si>
  <si>
    <t xml:space="preserve">   Total of Entry points:</t>
  </si>
  <si>
    <t xml:space="preserve">   Total of Exit points:</t>
  </si>
  <si>
    <t xml:space="preserve">   for firm short-term capacity products:</t>
  </si>
  <si>
    <r>
      <t>(LT) Domestic Exit Point</t>
    </r>
    <r>
      <rPr>
        <i/>
        <sz val="10"/>
        <color theme="1"/>
        <rFont val="Calibri"/>
        <family val="2"/>
        <charset val="186"/>
        <scheme val="minor"/>
      </rPr>
      <t xml:space="preserve"> (for Primary network )</t>
    </r>
  </si>
  <si>
    <t>For flow based charge at all Entry and Exit (including Domestic Exit Point) points</t>
  </si>
  <si>
    <t xml:space="preserve">TRANSMISSION VIA SECONDARY NETWORK SERVICES: </t>
  </si>
  <si>
    <t>For consumption capacity at Domestic Exit Point</t>
  </si>
  <si>
    <t>For flow-based tariffs for Primary network</t>
  </si>
  <si>
    <t xml:space="preserve">(LV&gt;LT) Kiemėnai Entry Point </t>
  </si>
  <si>
    <t>Iš viso</t>
  </si>
  <si>
    <t>Įleidimo</t>
  </si>
  <si>
    <t>Išleidimo</t>
  </si>
  <si>
    <t>Pajėgumai</t>
  </si>
  <si>
    <t>Kiekis</t>
  </si>
  <si>
    <t>Sau</t>
  </si>
  <si>
    <t>Vas</t>
  </si>
  <si>
    <t>Kov</t>
  </si>
  <si>
    <t>Bal</t>
  </si>
  <si>
    <t>Geg</t>
  </si>
  <si>
    <t>Bir</t>
  </si>
  <si>
    <t>Lie</t>
  </si>
  <si>
    <t>Rgp</t>
  </si>
  <si>
    <t>Rgs</t>
  </si>
  <si>
    <t>Spl</t>
  </si>
  <si>
    <t>Lap</t>
  </si>
  <si>
    <t>Grd</t>
  </si>
  <si>
    <t>Vidurkis</t>
  </si>
  <si>
    <t>I K</t>
  </si>
  <si>
    <t>II K</t>
  </si>
  <si>
    <t>III K</t>
  </si>
  <si>
    <t>IV K</t>
  </si>
  <si>
    <t>Kalendorinių dienų skaičius metuose/ketvirčiuose/mėnesiuose:</t>
  </si>
  <si>
    <t>P</t>
  </si>
  <si>
    <t>EP</t>
  </si>
  <si>
    <t>P/EP</t>
  </si>
  <si>
    <t>NE METŲ TRUKMĖS (TRUMPALAIKIŲ) PAJĖGUMŲ PRODUKTŲ KAINOS, EUR/MWh/parą/periodą (ketvirtį/mėnesį/parą/einamąją parą):</t>
  </si>
  <si>
    <t xml:space="preserve"> ne metų trukmės pajėgumų kainos, kaip % dalis nuo referencinės kainos:</t>
  </si>
  <si>
    <t>visiems įleidimo taškams</t>
  </si>
  <si>
    <t>(LT&gt;RU) Šakių išleidimo taškui</t>
  </si>
  <si>
    <r>
      <rPr>
        <sz val="10"/>
        <color theme="1"/>
        <rFont val="Calibri"/>
        <family val="2"/>
        <charset val="186"/>
        <scheme val="minor"/>
      </rPr>
      <t xml:space="preserve">Kainos už </t>
    </r>
    <r>
      <rPr>
        <b/>
        <sz val="10"/>
        <color theme="1"/>
        <rFont val="Calibri"/>
        <family val="2"/>
        <charset val="186"/>
        <scheme val="minor"/>
      </rPr>
      <t>ketvirčio pajėgumus</t>
    </r>
  </si>
  <si>
    <r>
      <rPr>
        <sz val="10"/>
        <color theme="1"/>
        <rFont val="Calibri"/>
        <family val="2"/>
        <charset val="186"/>
        <scheme val="minor"/>
      </rPr>
      <t xml:space="preserve">Kainos už </t>
    </r>
    <r>
      <rPr>
        <b/>
        <sz val="10"/>
        <color theme="1"/>
        <rFont val="Calibri"/>
        <family val="2"/>
        <charset val="186"/>
        <scheme val="minor"/>
      </rPr>
      <t>mėnesio pajėgumus</t>
    </r>
  </si>
  <si>
    <r>
      <rPr>
        <sz val="10"/>
        <color theme="1"/>
        <rFont val="Calibri"/>
        <family val="2"/>
        <charset val="186"/>
        <scheme val="minor"/>
      </rPr>
      <t xml:space="preserve">Kainos už </t>
    </r>
    <r>
      <rPr>
        <b/>
        <sz val="10"/>
        <color theme="1"/>
        <rFont val="Calibri"/>
        <family val="2"/>
        <charset val="186"/>
        <scheme val="minor"/>
      </rPr>
      <t>paros pajėgumus</t>
    </r>
  </si>
  <si>
    <r>
      <rPr>
        <sz val="10"/>
        <color theme="1"/>
        <rFont val="Calibri"/>
        <family val="2"/>
        <charset val="186"/>
        <scheme val="minor"/>
      </rPr>
      <t xml:space="preserve">Kainos už </t>
    </r>
    <r>
      <rPr>
        <b/>
        <sz val="10"/>
        <color theme="1"/>
        <rFont val="Calibri"/>
        <family val="2"/>
        <charset val="186"/>
        <scheme val="minor"/>
      </rPr>
      <t>einamosios paros pajėgumus</t>
    </r>
  </si>
  <si>
    <t>Referen-cinės kainos</t>
  </si>
  <si>
    <t>Referencinės kainos</t>
  </si>
  <si>
    <t>(BY&gt;LT) Kotlovkos įleidimo taškas</t>
  </si>
  <si>
    <t>(BY&gt;LT) Kotlovkos įleidimo taškas (apribotasis pajėgumų produktas)</t>
  </si>
  <si>
    <t>(LV&gt;LT) Kiemėnų įleidimo taškas</t>
  </si>
  <si>
    <t>(SGDT&gt;LT) Klaipėdos įleidimo taškas</t>
  </si>
  <si>
    <t>(LT&gt;LV) Kiemėnų išleidimo taškas</t>
  </si>
  <si>
    <t>(LT&gt;RU) Šakių išleidimo taškas</t>
  </si>
  <si>
    <t>(LT) Vidinis išleidimo taškas</t>
  </si>
  <si>
    <r>
      <t xml:space="preserve">LP dalis, </t>
    </r>
    <r>
      <rPr>
        <sz val="10"/>
        <color theme="1"/>
        <rFont val="Calibri"/>
        <family val="2"/>
        <charset val="186"/>
        <scheme val="minor"/>
      </rPr>
      <t xml:space="preserve">priskirtina </t>
    </r>
    <r>
      <rPr>
        <b/>
        <sz val="10"/>
        <color theme="1"/>
        <rFont val="Calibri"/>
        <family val="2"/>
        <charset val="186"/>
        <scheme val="minor"/>
      </rPr>
      <t xml:space="preserve">trumpalaikėms paslaugoms </t>
    </r>
    <r>
      <rPr>
        <i/>
        <sz val="10"/>
        <color theme="1"/>
        <rFont val="Calibri"/>
        <family val="2"/>
        <charset val="186"/>
        <scheme val="minor"/>
      </rPr>
      <t>(nuo 2020 m. LP dalis nėra priskiriamo šioms paslaugoms, nes metų pajėgumų produktų kainos yra skaičiuojamos pagal bendrą metų pajėgumų ekvivalento prognozę):</t>
    </r>
  </si>
  <si>
    <r>
      <t>iš jų priskirta Pagrindiniam tinklui</t>
    </r>
    <r>
      <rPr>
        <i/>
        <vertAlign val="superscript"/>
        <sz val="10"/>
        <color theme="1"/>
        <rFont val="Calibri"/>
        <family val="2"/>
        <charset val="186"/>
        <scheme val="minor"/>
      </rPr>
      <t xml:space="preserve"> </t>
    </r>
  </si>
  <si>
    <r>
      <t>iš jų priskirta Lokaliam tinklui</t>
    </r>
    <r>
      <rPr>
        <i/>
        <vertAlign val="superscript"/>
        <sz val="10"/>
        <color theme="1"/>
        <rFont val="Calibri"/>
        <family val="2"/>
        <charset val="186"/>
        <scheme val="minor"/>
      </rPr>
      <t xml:space="preserve"> </t>
    </r>
  </si>
  <si>
    <t>EUR/MWh/parą/metus</t>
  </si>
  <si>
    <t>Trumpalaikių pajėgumų kainos (EUR/MWh/parą/periodą)</t>
  </si>
  <si>
    <t>(LT&gt;PL) Santakos išleidimo taškas</t>
  </si>
  <si>
    <t>(LT) Vidinis išleidimo taškas - Achema</t>
  </si>
  <si>
    <t>(PL&gt;LT) Santakos įleidimo taškas</t>
  </si>
  <si>
    <t>(LT&gt;LV) Kiemėnų, (LT&gt;PL) Santakos išleidimo taškui</t>
  </si>
  <si>
    <t>(LT) Vidiniams išleidimo taškams</t>
  </si>
  <si>
    <t>(BY&gt;LT) Kotlovka Entry Point</t>
  </si>
  <si>
    <t>(PL&gt; LT) Santaka Entry Point</t>
  </si>
  <si>
    <t>(LT&gt;PL) Santaka Exit Point</t>
  </si>
  <si>
    <t>for all Entry points for Domestic Exit - Achema</t>
  </si>
  <si>
    <t>MWh</t>
  </si>
  <si>
    <t>Eur/MWh</t>
  </si>
  <si>
    <t>PAGRINDINIS TINKLAS (PT)</t>
  </si>
  <si>
    <t>LOKALUS TINKLAS</t>
  </si>
  <si>
    <t>IŠ VISO</t>
  </si>
  <si>
    <t xml:space="preserve">Kotlovkos DAS įleidimo taškas </t>
  </si>
  <si>
    <t>Kotlovkos DAS įleidimo taškas (apribotasis pajėgumų produktas)</t>
  </si>
  <si>
    <t>Kiemėnų DAS įleidimo taškas</t>
  </si>
  <si>
    <t>Klaipėdos DAS įleidimo taškas</t>
  </si>
  <si>
    <t>Kiemėnų DAS išleidimo taškas</t>
  </si>
  <si>
    <t>Šakių DAS išleidimo taškas</t>
  </si>
  <si>
    <t>Pajamų lygis iš viso, tūkst. Eur</t>
  </si>
  <si>
    <t>Pajamų už PT kiekį dalis, tūkst. Eur</t>
  </si>
  <si>
    <t>Pajamos už PT kiekį pagal taškus, tūkst. Eur</t>
  </si>
  <si>
    <t>Reguliavimo sąsk., tūkst. Eur, iš jo:</t>
  </si>
  <si>
    <t>Priskiriama vidiniam išleidimo taškui nuo pagrindinio tinklo (proporcingai pajamų lygiui iki reguliavimo sąskaitos)</t>
  </si>
  <si>
    <t>Priskiriama lokaliam tinklui</t>
  </si>
  <si>
    <t>Perskirstymas, tūkst. Eur, iš jo:</t>
  </si>
  <si>
    <t>Kiemėnų išleidimo taškui</t>
  </si>
  <si>
    <t>Pagrindinis lokalaus tinklo pajamų lygis</t>
  </si>
  <si>
    <t>Pajamų lygis, įvertinus reguliavimo sąskaitos efektą</t>
  </si>
  <si>
    <t>Vartojimo pajėgumai</t>
  </si>
  <si>
    <t>Kotlovkos DAS įleidimo taškas</t>
  </si>
  <si>
    <t>Transportavimo ES poreikiams paslauga</t>
  </si>
  <si>
    <t>Transportavimo į trečiąją šalį paslauga</t>
  </si>
  <si>
    <t xml:space="preserve">Įleidimo </t>
  </si>
  <si>
    <t xml:space="preserve">Išleidimo </t>
  </si>
  <si>
    <t>Pajamų lygis, tūkst. Eur</t>
  </si>
  <si>
    <r>
      <t>Įleidimo – išleidimo taškuose padalijimo proporcija (angl.</t>
    </r>
    <r>
      <rPr>
        <i/>
        <sz val="11"/>
        <color theme="1"/>
        <rFont val="Calibri"/>
        <family val="2"/>
        <charset val="186"/>
        <scheme val="minor"/>
      </rPr>
      <t xml:space="preserve"> Entry-Exit Split</t>
    </r>
    <r>
      <rPr>
        <sz val="11"/>
        <color theme="1"/>
        <rFont val="Calibri"/>
        <family val="2"/>
        <charset val="186"/>
        <scheme val="minor"/>
      </rPr>
      <t>) (kaip įvesties parametras), %</t>
    </r>
  </si>
  <si>
    <r>
      <t xml:space="preserve">Pajamų pasiskirstymas pagal įvesties </t>
    </r>
    <r>
      <rPr>
        <i/>
        <sz val="11"/>
        <color theme="1"/>
        <rFont val="Calibri"/>
        <family val="2"/>
        <charset val="186"/>
        <scheme val="minor"/>
      </rPr>
      <t>Entry-Exit Split</t>
    </r>
    <r>
      <rPr>
        <sz val="11"/>
        <color theme="1"/>
        <rFont val="Calibri"/>
        <family val="2"/>
        <charset val="186"/>
        <scheme val="minor"/>
      </rPr>
      <t>, tūkst. Eur</t>
    </r>
  </si>
  <si>
    <t>Metinių pajėgumų ekvivalentas, MWh/parą/metus</t>
  </si>
  <si>
    <r>
      <t xml:space="preserve">Pajamų pasiskirstymas pagal taškus pagal įvesties </t>
    </r>
    <r>
      <rPr>
        <i/>
        <sz val="11"/>
        <color theme="1"/>
        <rFont val="Calibri"/>
        <family val="2"/>
        <charset val="186"/>
        <scheme val="minor"/>
      </rPr>
      <t>Entry-Exit Split</t>
    </r>
    <r>
      <rPr>
        <sz val="11"/>
        <color theme="1"/>
        <rFont val="Calibri"/>
        <family val="2"/>
        <charset val="186"/>
        <scheme val="minor"/>
      </rPr>
      <t>, tūkst. Eur</t>
    </r>
  </si>
  <si>
    <t>Pajamų pasiskirstymas, įvertinus Klaipėdos DAS nuolaidos persiskirstymą už praėjusius laikotarpius, tūkst. Eur</t>
  </si>
  <si>
    <t>Pajamų pasiskirstymas, įvertinus reguliavimo sąskaitos efektą, tūkst. Eur</t>
  </si>
  <si>
    <t>* Pajėgumai: Eur/MWh/parą/metus
Kiekis: Eur/MWh</t>
  </si>
  <si>
    <t>IŠ VISO (PAGRINDINIS + LOKALUS)</t>
  </si>
  <si>
    <t>Pajėgumai (MWh), kiekis (GWh)</t>
  </si>
  <si>
    <t>Santaka DASRS įleidimo taškas</t>
  </si>
  <si>
    <t>Santaka DASRS išleidimo taškas</t>
  </si>
  <si>
    <t>Pajamų už kiekį dalis, %</t>
  </si>
  <si>
    <t>Vidaus išleidimo taškai</t>
  </si>
  <si>
    <t>Vidaus išleidimo taškas</t>
  </si>
  <si>
    <t>Vidaus išleidimo taškas - Achema</t>
  </si>
  <si>
    <t>Ilgalaikiai pajėgumai</t>
  </si>
  <si>
    <t>CBCA tūkst. Eur dydis</t>
  </si>
  <si>
    <t>CBCA pasiskirstymas pagal taškus, tūkst. Eur</t>
  </si>
  <si>
    <t>Pajamų pasiskirstymas, įvertinus reguliavimo sąskaitos efektą ir CBCA kompensaciją, tūkst. Eur</t>
  </si>
  <si>
    <t>Vidiniams išleidimo taškams</t>
  </si>
  <si>
    <t>Santakos išleidimo taškui</t>
  </si>
  <si>
    <t>Pajamų už pajėgumus dalis, %</t>
  </si>
  <si>
    <t>Ilgalaikių pajėgumų kainos</t>
  </si>
  <si>
    <t>Tarifiniai metai 2023</t>
  </si>
  <si>
    <t>Kainos, Eur/MWh/parą/metus</t>
  </si>
  <si>
    <t>Pajamų dalis už Lokalaus tinklo paslaugas priskirta už ilgalaikius pajėgus vidaus išleidimo taškuose, %</t>
  </si>
  <si>
    <t>Pajamų už vartojimo pajėgumus dalis Lokalaus tinklo paslaugų pajamose, %</t>
  </si>
  <si>
    <t>Pajamų lygis priskirtas vartojimo pajėgumų paslaugai</t>
  </si>
  <si>
    <t>Kainos po Klaipėdos DAS nuolaidos perskirstymo už praėjusius laikotarpius ir įvertinus reguliavimo sąskaitą, Eur/MWh/parą/metus</t>
  </si>
  <si>
    <t>Pajamų lygis priskirtas ilgalaikiams pajėgumams vidaus išleidimo taškuose</t>
  </si>
  <si>
    <t>Lokalaus tinklo pajamų lygis priskirtas vidaus išleidimo taškams tūkst. Eur</t>
  </si>
  <si>
    <t>Vidaus išleidimo taškas
(be lokalaus tinklo pajamų, priskirtų pajėgumams)</t>
  </si>
  <si>
    <t>Vidaus išleidimo taškas - Achema
(be lokalaus tinklo pajamų, priskirtų pajėgumams)</t>
  </si>
  <si>
    <t>Kainos, įvertinus Klaipėdos DAS nuolaidos persiskirstymą už praėjusius laikotarpius, Eur/MWh/parą/metus</t>
  </si>
  <si>
    <t>Kainos po Klaipėdos DAS nuolaidos perskirstymo už praėjusius laikotarpius ir įvertinus reguliavimo sąskaitą bei lokalaus tinklo pajamas vidiniuose taškuose, Eur/MWh/parą/metus</t>
  </si>
  <si>
    <t>Pajamų pasiskirstymas, įvertinus reguliavimo sąskaitos efektą, CBCA kompensaciją ir lokalaus tinklo pajamas vidiniuose taškuose, tūkst. Eur</t>
  </si>
  <si>
    <t>Tarifiniai metai 2024 vs. 2023</t>
  </si>
  <si>
    <r>
      <t>(LT) Domestic Exit Point</t>
    </r>
    <r>
      <rPr>
        <i/>
        <sz val="10"/>
        <color theme="1"/>
        <rFont val="Calibri"/>
        <family val="2"/>
        <charset val="186"/>
        <scheme val="minor"/>
      </rPr>
      <t xml:space="preserve"> (for Transmission service)</t>
    </r>
  </si>
  <si>
    <t>check</t>
  </si>
  <si>
    <t>TOTAL ENTRY</t>
  </si>
  <si>
    <t>TOTAL EXIT</t>
  </si>
  <si>
    <t>(LT) Domestic Exit - Achema</t>
  </si>
  <si>
    <t>Total Entry flow (excl. Transmission to 3rd Country)</t>
  </si>
  <si>
    <t>AVG. Entry price for EU</t>
  </si>
  <si>
    <t>AVG. Exit price to LV</t>
  </si>
  <si>
    <t>AVG. Exit price to PL</t>
  </si>
  <si>
    <t>AVG. Exit price to LT</t>
  </si>
  <si>
    <t>Pagrindiniai duomenys, naudoti 2024 m. kainoms skaičiuoti</t>
  </si>
  <si>
    <t>Kaina už kiekį 2024 m., Eur/MWh</t>
  </si>
  <si>
    <t>Pagrindinio pajamų lygio 2024 m. paskirstymas pajėgumams ir kiekiui (iki reguliavimo sąskaitos efekto ir CBCA kompensacijos)</t>
  </si>
  <si>
    <t>Kiekis išleidimo taškuose 2024 m., MWh</t>
  </si>
  <si>
    <t>Reguliavimo sąskaitos priskyrimas pagrindiniam (vidiniuose išleidimo taškuose) ir lokaliam tinklams 2024 m. kainoms</t>
  </si>
  <si>
    <t>Pajamų perskirstymas ES išleidimo taškuose dėl SGDT nuolaidos Klaipėdos DAS taške taikymo už 2022 m., įvertinamas 2024 m. kainose</t>
  </si>
  <si>
    <t>Perskirstymas už  2022 m., viso tūkst. Eur:</t>
  </si>
  <si>
    <t xml:space="preserve">Lokaliam tinklo pajamų lygio priskyrimas kainai už vartojimo pajėgumus ir ilgalaikius pajėgumus, naudojantis lokaliu tinklu, 2024 m. </t>
  </si>
  <si>
    <t>2024 m. kainų už pajėgumus, naudojantis pagrindiniame tinklu (PT), „pašto ženklo“ (su taikomais parametrais) principu skaičiavimas (po pajamų už PT kiekį dalies atskyrimo), CBCA įvertinimas, lokalaus tinklo sąnaudų įvertinimams vidiniuose taškuose</t>
  </si>
  <si>
    <t>Pajamų lygio paskirstymas pagrindiniam ir lokaliam tinklams bei kainos (be trump. pajėgumų kainų) 2024 m. (po reguliavimo sąskaitos efekto), po CBCA kompensacijos įvertinimo</t>
  </si>
  <si>
    <t>Kainos 2024 m., Eur/MWh*</t>
  </si>
  <si>
    <t>Vidaus Įleidimo taškas</t>
  </si>
  <si>
    <t>`</t>
  </si>
  <si>
    <t>For Entry Points</t>
  </si>
  <si>
    <t>For Exit Points</t>
  </si>
  <si>
    <r>
      <t>Kotlovka GMS</t>
    </r>
    <r>
      <rPr>
        <vertAlign val="superscript"/>
        <sz val="9"/>
        <color theme="1"/>
        <rFont val="Calibri"/>
        <family val="2"/>
        <charset val="186"/>
        <scheme val="minor"/>
      </rPr>
      <t>1</t>
    </r>
  </si>
  <si>
    <r>
      <t>Kiemėnai GMS</t>
    </r>
    <r>
      <rPr>
        <vertAlign val="superscript"/>
        <sz val="9"/>
        <color theme="1"/>
        <rFont val="Calibri"/>
        <family val="2"/>
        <charset val="186"/>
        <scheme val="minor"/>
      </rPr>
      <t>2</t>
    </r>
  </si>
  <si>
    <r>
      <t>Klaipėda GMS</t>
    </r>
    <r>
      <rPr>
        <vertAlign val="superscript"/>
        <sz val="9"/>
        <color theme="1"/>
        <rFont val="Calibri"/>
        <family val="2"/>
        <charset val="186"/>
        <scheme val="minor"/>
      </rPr>
      <t>3</t>
    </r>
  </si>
  <si>
    <r>
      <t>Domestic Entry</t>
    </r>
    <r>
      <rPr>
        <b/>
        <vertAlign val="superscript"/>
        <sz val="9"/>
        <color theme="1"/>
        <rFont val="Calibri"/>
        <family val="2"/>
        <charset val="186"/>
        <scheme val="minor"/>
      </rPr>
      <t>9</t>
    </r>
  </si>
  <si>
    <r>
      <t>Santaka GMS</t>
    </r>
    <r>
      <rPr>
        <b/>
        <vertAlign val="superscript"/>
        <sz val="9"/>
        <color theme="1"/>
        <rFont val="Calibri"/>
        <family val="2"/>
        <charset val="186"/>
        <scheme val="minor"/>
      </rPr>
      <t>7</t>
    </r>
  </si>
  <si>
    <r>
      <t>Domestic exit point</t>
    </r>
    <r>
      <rPr>
        <vertAlign val="superscript"/>
        <sz val="9"/>
        <color theme="1"/>
        <rFont val="Calibri"/>
        <family val="2"/>
        <charset val="186"/>
        <scheme val="minor"/>
      </rPr>
      <t>4</t>
    </r>
  </si>
  <si>
    <r>
      <t>Domestic exit point - Achema</t>
    </r>
    <r>
      <rPr>
        <vertAlign val="superscript"/>
        <sz val="9"/>
        <color theme="1"/>
        <rFont val="Calibri"/>
        <family val="2"/>
        <charset val="186"/>
        <scheme val="minor"/>
      </rPr>
      <t>5</t>
    </r>
  </si>
  <si>
    <t>Per (kWh/h) per h</t>
  </si>
  <si>
    <t>MWh / day / year</t>
  </si>
  <si>
    <t>Unit of capacity</t>
  </si>
  <si>
    <t>Long-Term Capacity Tariffs</t>
  </si>
  <si>
    <t>INTERRUPTIBLE TARIFFS FOR QUARTERLY CAPACITY:</t>
  </si>
  <si>
    <t>Quarter 1</t>
  </si>
  <si>
    <t>Quarter 2</t>
  </si>
  <si>
    <t>Quarter 3</t>
  </si>
  <si>
    <t>Quarter 4</t>
  </si>
  <si>
    <t>MWh / day / quarter</t>
  </si>
  <si>
    <t>Interruptible Tariffs for Monthly (M) and Daily (D) / Within-day (WD) Capacities of corresponding month: 
Monthly (M) unit of capacity MWh / day / month; Daily (D), Within-day (WD) – unit of capacity MWh / day</t>
  </si>
  <si>
    <t>Per (kWh/h) per h
M                  P              EP</t>
  </si>
  <si>
    <t>Per (kWh/h) per h
M              P                  EP</t>
  </si>
  <si>
    <t>January</t>
  </si>
  <si>
    <t>February</t>
  </si>
  <si>
    <t>March</t>
  </si>
  <si>
    <t>April</t>
  </si>
  <si>
    <t>May</t>
  </si>
  <si>
    <t>June</t>
  </si>
  <si>
    <t>July</t>
  </si>
  <si>
    <t>August</t>
  </si>
  <si>
    <t>September</t>
  </si>
  <si>
    <t>October</t>
  </si>
  <si>
    <t>November</t>
  </si>
  <si>
    <t>December</t>
  </si>
  <si>
    <t>INTERRUPTIBLE CAPACITY PRICE: calculated by multiplying 90% by the price of the corresponding firm capacity product (long term, quarterly, monthly, daily/within-day capacity) at that point. All prices except Santaka are shown with two decimal places, Santaka is shown with 6, ROUND function (Excel) is used for rounding.</t>
  </si>
  <si>
    <r>
      <rPr>
        <vertAlign val="superscript"/>
        <sz val="8"/>
        <color theme="1"/>
        <rFont val="Calibri"/>
        <family val="2"/>
        <charset val="186"/>
        <scheme val="minor"/>
      </rPr>
      <t xml:space="preserve">1 </t>
    </r>
    <r>
      <rPr>
        <sz val="8"/>
        <color theme="1"/>
        <rFont val="Calibri"/>
        <family val="2"/>
        <charset val="186"/>
        <scheme val="minor"/>
      </rPr>
      <t xml:space="preserve">For the interconnection point between the Lithuanian Natural Gas Transmission System and the Belarusian Natural Gas Transmission System (Gas Metering Point: Kotlovka Gas Metering Station (hereinafter – GMS)). 
</t>
    </r>
    <r>
      <rPr>
        <vertAlign val="superscript"/>
        <sz val="8"/>
        <color theme="1"/>
        <rFont val="Calibri"/>
        <family val="2"/>
        <charset val="186"/>
        <scheme val="minor"/>
      </rPr>
      <t>2</t>
    </r>
    <r>
      <rPr>
        <sz val="8"/>
        <color theme="1"/>
        <rFont val="Calibri"/>
        <family val="2"/>
        <charset val="186"/>
        <scheme val="minor"/>
      </rPr>
      <t xml:space="preserve"> For the interconnection point between the Lithuanian Natural Gas Transmission System and the Latvian Natural Gas Transmission System (Gas Metering Point: Kiemėnai GMS).
</t>
    </r>
    <r>
      <rPr>
        <vertAlign val="superscript"/>
        <sz val="8"/>
        <color theme="1"/>
        <rFont val="Calibri"/>
        <family val="2"/>
        <charset val="186"/>
        <scheme val="minor"/>
      </rPr>
      <t>3</t>
    </r>
    <r>
      <rPr>
        <sz val="8"/>
        <color theme="1"/>
        <rFont val="Calibri"/>
        <family val="2"/>
        <charset val="186"/>
        <scheme val="minor"/>
      </rPr>
      <t xml:space="preserve"> For the interconnection point between the Lithuanian Natural Gas Transmission System and the Liquefied Natural Gas Terminal‘s System (Gas Metering Point: Klaipėda GMS).
</t>
    </r>
    <r>
      <rPr>
        <vertAlign val="superscript"/>
        <sz val="8"/>
        <color theme="1"/>
        <rFont val="Calibri"/>
        <family val="2"/>
        <charset val="186"/>
        <scheme val="minor"/>
      </rPr>
      <t>4</t>
    </r>
    <r>
      <rPr>
        <sz val="8"/>
        <color theme="1"/>
        <rFont val="Calibri"/>
        <family val="2"/>
        <charset val="186"/>
        <scheme val="minor"/>
      </rPr>
      <t xml:space="preserve"> For the connection points between the Lithuanian Natural Gas Transmission System and the Lithuanian natural gas distribution systems, Lithuanian consumers’ systems directly connected to the Lithuanian Natural Gas Transmission System, corresponding one exit point (Domestic Exit Point) for all Lithuanian Natural Gas Transmission System users.
</t>
    </r>
    <r>
      <rPr>
        <vertAlign val="superscript"/>
        <sz val="8"/>
        <color theme="1"/>
        <rFont val="Calibri"/>
        <family val="2"/>
        <charset val="186"/>
        <scheme val="minor"/>
      </rPr>
      <t>5</t>
    </r>
    <r>
      <rPr>
        <sz val="8"/>
        <color theme="1"/>
        <rFont val="Calibri"/>
        <family val="2"/>
        <charset val="186"/>
        <scheme val="minor"/>
      </rPr>
      <t xml:space="preserve"> For the connection points between the Lithuanian Natural Gas Transmission System and the Lithuanian natural gas distribution systems, Lithuanian consumers’ systems directly connected to the Lithuanian Natural Gas Transmission System, corresponding one exit point (Domestic Exit Point) for Achema. 
</t>
    </r>
    <r>
      <rPr>
        <vertAlign val="superscript"/>
        <sz val="8"/>
        <color theme="1"/>
        <rFont val="Calibri"/>
        <family val="2"/>
        <charset val="186"/>
        <scheme val="minor"/>
      </rPr>
      <t>6</t>
    </r>
    <r>
      <rPr>
        <sz val="8"/>
        <color theme="1"/>
        <rFont val="Calibri"/>
        <family val="2"/>
        <charset val="186"/>
        <scheme val="minor"/>
      </rPr>
      <t xml:space="preserve"> For the connection point between the Lithuanian Natural Gas Transmission System and the Natural Gas Transmission System of the Kaliningrad Region of the Russian Federation (Gas Metering Point: Šakiai GMS).
</t>
    </r>
    <r>
      <rPr>
        <vertAlign val="superscript"/>
        <sz val="8"/>
        <color theme="1"/>
        <rFont val="Calibri"/>
        <family val="2"/>
        <charset val="186"/>
        <scheme val="minor"/>
      </rPr>
      <t>7</t>
    </r>
    <r>
      <rPr>
        <sz val="8"/>
        <color theme="1"/>
        <rFont val="Calibri"/>
        <family val="2"/>
        <charset val="186"/>
        <scheme val="minor"/>
      </rPr>
      <t xml:space="preserve"> For the interconnection point between the Lithuanian Natural Gas Transmission System and the Polish Natural Gas Transmission System (Gas Metering Point: Santaka GMS).
</t>
    </r>
    <r>
      <rPr>
        <vertAlign val="superscript"/>
        <sz val="8"/>
        <color theme="1"/>
        <rFont val="Calibri"/>
        <family val="2"/>
        <charset val="186"/>
        <scheme val="minor"/>
      </rPr>
      <t>8</t>
    </r>
    <r>
      <rPr>
        <sz val="8"/>
        <color theme="1"/>
        <rFont val="Calibri"/>
        <family val="2"/>
        <charset val="186"/>
        <scheme val="minor"/>
      </rPr>
      <t xml:space="preserve"> The tariff of restricted capacity product at Kotlovka GMS Entry Point is applied for the capacity booked by using which the right to transport natural gas only to Šakiai GMS Exit Point is granted (i.e. once the restricted capacity at Kotlovka GMS Entry Point is booked and natural gas is injected through that point by using a restricted capacity product, the natural gas must be further transported and ejected only through Šakiai GMS Exit Point (without possibility of delivering natural gas to the other points and (or) selling it at a virtual natural gas trading point (natural gas exchange)).
</t>
    </r>
    <r>
      <rPr>
        <vertAlign val="superscript"/>
        <sz val="8"/>
        <color theme="1"/>
        <rFont val="Calibri"/>
        <family val="2"/>
        <charset val="186"/>
        <scheme val="minor"/>
      </rPr>
      <t xml:space="preserve">9 </t>
    </r>
    <r>
      <rPr>
        <sz val="8"/>
        <color theme="1"/>
        <rFont val="Calibri"/>
        <family val="2"/>
        <charset val="186"/>
        <scheme val="minor"/>
      </rPr>
      <t>Domestic Entry point - commercial green gas (biogas, hydrogen) entry point into the transmission system that does not have a defined physical location in the transmission system</t>
    </r>
  </si>
  <si>
    <r>
      <t>Šakiai GMS</t>
    </r>
    <r>
      <rPr>
        <vertAlign val="superscript"/>
        <sz val="9"/>
        <color theme="1"/>
        <rFont val="Calibri"/>
        <family val="2"/>
        <charset val="186"/>
        <scheme val="minor"/>
      </rPr>
      <t>6</t>
    </r>
  </si>
  <si>
    <r>
      <rPr>
        <vertAlign val="superscript"/>
        <sz val="8"/>
        <color theme="1"/>
        <rFont val="Calibri"/>
        <family val="2"/>
        <charset val="186"/>
        <scheme val="minor"/>
      </rPr>
      <t xml:space="preserve">1 </t>
    </r>
    <r>
      <rPr>
        <sz val="8"/>
        <color theme="1"/>
        <rFont val="Calibri"/>
        <family val="2"/>
        <charset val="186"/>
        <scheme val="minor"/>
      </rPr>
      <t xml:space="preserve">For the interconnection point between the Lithuanian Natural Gas Transmission System and the Belarusian Natural Gas Transmission System (Gas Metering Point: Kotlovka Gas Metering Station (hereinafter – GMS)). 
</t>
    </r>
    <r>
      <rPr>
        <vertAlign val="superscript"/>
        <sz val="8"/>
        <color theme="1"/>
        <rFont val="Calibri"/>
        <family val="2"/>
        <charset val="186"/>
        <scheme val="minor"/>
      </rPr>
      <t>2</t>
    </r>
    <r>
      <rPr>
        <sz val="8"/>
        <color theme="1"/>
        <rFont val="Calibri"/>
        <family val="2"/>
        <charset val="186"/>
        <scheme val="minor"/>
      </rPr>
      <t xml:space="preserve"> For the interconnection point between the Lithuanian Natural Gas Transmission System and the Latvian Natural Gas Transmission System (Gas Metering Point: Kiemėnai GMS).
</t>
    </r>
    <r>
      <rPr>
        <vertAlign val="superscript"/>
        <sz val="8"/>
        <color theme="1"/>
        <rFont val="Calibri"/>
        <family val="2"/>
        <charset val="186"/>
        <scheme val="minor"/>
      </rPr>
      <t>3</t>
    </r>
    <r>
      <rPr>
        <sz val="8"/>
        <color theme="1"/>
        <rFont val="Calibri"/>
        <family val="2"/>
        <charset val="186"/>
        <scheme val="minor"/>
      </rPr>
      <t xml:space="preserve"> For the interconnection point between the Lithuanian Natural Gas Transmission System and the Liquefied Natural Gas Terminal‘s System (Gas Metering Point: Klaipėda GMS).
</t>
    </r>
    <r>
      <rPr>
        <vertAlign val="superscript"/>
        <sz val="8"/>
        <color theme="1"/>
        <rFont val="Calibri"/>
        <family val="2"/>
        <charset val="186"/>
        <scheme val="minor"/>
      </rPr>
      <t>4</t>
    </r>
    <r>
      <rPr>
        <sz val="8"/>
        <color theme="1"/>
        <rFont val="Calibri"/>
        <family val="2"/>
        <charset val="186"/>
        <scheme val="minor"/>
      </rPr>
      <t xml:space="preserve"> For the connection points between the Lithuanian Natural Gas Transmission System and the Lithuanian natural gas distribution systems, Lithuanian consumers’ systems directly connected to the Lithuanian Natural Gas Transmission System, corresponding one exit point (Domestic Exit Point) for all Lithuanian Natural Gas Transmission System users.
</t>
    </r>
    <r>
      <rPr>
        <vertAlign val="superscript"/>
        <sz val="8"/>
        <color theme="1"/>
        <rFont val="Calibri"/>
        <family val="2"/>
        <charset val="186"/>
        <scheme val="minor"/>
      </rPr>
      <t>5</t>
    </r>
    <r>
      <rPr>
        <sz val="8"/>
        <color theme="1"/>
        <rFont val="Calibri"/>
        <family val="2"/>
        <charset val="186"/>
        <scheme val="minor"/>
      </rPr>
      <t xml:space="preserve"> For the connection points between the Lithuanian Natural Gas Transmission System and the Lithuanian natural gas distribution systems, Lithuanian consumers’ systems directly connected to the Lithuanian Natural Gas Transmission System, corresponding one exit point (Domestic Exit Point) for Achema. 
</t>
    </r>
    <r>
      <rPr>
        <vertAlign val="superscript"/>
        <sz val="8"/>
        <color theme="1"/>
        <rFont val="Calibri"/>
        <family val="2"/>
        <charset val="186"/>
        <scheme val="minor"/>
      </rPr>
      <t>6</t>
    </r>
    <r>
      <rPr>
        <sz val="8"/>
        <color theme="1"/>
        <rFont val="Calibri"/>
        <family val="2"/>
        <charset val="186"/>
        <scheme val="minor"/>
      </rPr>
      <t xml:space="preserve"> For the connection point between the Lithuanian Natural Gas Transmission System and the Natural Gas Transmission System of the Kaliningrad Region of the Russian Federation (Gas Metering Point: Šakiai GMS).
</t>
    </r>
    <r>
      <rPr>
        <vertAlign val="superscript"/>
        <sz val="8"/>
        <color theme="1"/>
        <rFont val="Calibri"/>
        <family val="2"/>
        <charset val="186"/>
        <scheme val="minor"/>
      </rPr>
      <t xml:space="preserve">7 </t>
    </r>
    <r>
      <rPr>
        <sz val="8"/>
        <color theme="1"/>
        <rFont val="Calibri"/>
        <family val="2"/>
        <charset val="186"/>
        <scheme val="minor"/>
      </rPr>
      <t xml:space="preserve">For the interconnection point between the Lithuanian Natural Gas Transmission System and the Polish Natural Gas Transmission System (Gas Metering Point: Santaka GMS).
</t>
    </r>
    <r>
      <rPr>
        <vertAlign val="superscript"/>
        <sz val="8"/>
        <color theme="1"/>
        <rFont val="Calibri"/>
        <family val="2"/>
        <charset val="186"/>
        <scheme val="minor"/>
      </rPr>
      <t>8</t>
    </r>
    <r>
      <rPr>
        <sz val="8"/>
        <color theme="1"/>
        <rFont val="Calibri"/>
        <family val="2"/>
        <charset val="186"/>
        <scheme val="minor"/>
      </rPr>
      <t xml:space="preserve"> The tariff of restricted capacity product at Kotlovka GMS Entry Point is applied for the capacity booked by using which the right to transport natural gas only to Šakiai GMS Exit Point is granted (i.e. once the restricted capacity at Kotlovka GMS Entry Point is booked and natural gas is injected through that point by using a restricted capacity product, the natural gas must be further transported and ejected only through Šakiai GMS Exit Point (without possibility of delivering natural gas to the other points and (or) selling it at a virtual natural gas trading point (natural gas exchange)).
</t>
    </r>
    <r>
      <rPr>
        <vertAlign val="superscript"/>
        <sz val="8"/>
        <color theme="1"/>
        <rFont val="Calibri"/>
        <family val="2"/>
        <charset val="186"/>
        <scheme val="minor"/>
      </rPr>
      <t xml:space="preserve">9 </t>
    </r>
    <r>
      <rPr>
        <sz val="8"/>
        <color theme="1"/>
        <rFont val="Calibri"/>
        <family val="2"/>
        <charset val="186"/>
        <scheme val="minor"/>
      </rPr>
      <t>Domestic Entry point - commercial green gas (biogas, hydrogen) entry point into the transmission system that does not have a defined physical location in the transmission system</t>
    </r>
  </si>
  <si>
    <t>Interruptible Natural Gas Transmission Tariffs, EUR (VAT excluded)</t>
  </si>
  <si>
    <t>Natural Gas Transmission Tariffs, EUR (VAT excluded)</t>
  </si>
  <si>
    <t>TARIFFS FOR FIRM CAPACITY:</t>
  </si>
  <si>
    <t>TARIFFS FOR QUARTERLY CAPACITY:</t>
  </si>
  <si>
    <t>Per (kWh/h) per h
M              P                EP</t>
  </si>
  <si>
    <r>
      <rPr>
        <b/>
        <sz val="9"/>
        <color theme="1"/>
        <rFont val="Calibri"/>
        <family val="2"/>
        <charset val="186"/>
        <scheme val="minor"/>
      </rPr>
      <t xml:space="preserve">TARIFFS FOR INTERRUPTIBLE CAPACITY: </t>
    </r>
    <r>
      <rPr>
        <sz val="9"/>
        <color theme="1"/>
        <rFont val="Calibri"/>
        <family val="2"/>
        <charset val="186"/>
        <scheme val="minor"/>
      </rPr>
      <t xml:space="preserve">are equal to 90% of tariffs of firm capacity products (Y, Q, M, D/WD) at given Entry or (and) Exit point. The ex-post compensation paid for each day on which an interruption occurred (after the purchasing of firm capacity products at given Entry or (and) Exit point), is equal to the tariff of daily firm capacity product at that point, multiplied by 3.
</t>
    </r>
  </si>
  <si>
    <t>TARIFFS FOR CONSUMPTION CAPACITY UNIT, IN EURO (EUR) (VAT EXCLUDED)</t>
  </si>
  <si>
    <t>Tariffs for Consumption Capacity</t>
  </si>
  <si>
    <t>TARIFFS FOR TRANSMITTED QUANTITY (FLOW-BASED TARIFFS), IN EURO (EUR) (VAT EXCLUDED)</t>
  </si>
  <si>
    <t>Tariffs for Quantity</t>
  </si>
  <si>
    <t>Quantity unit</t>
  </si>
  <si>
    <t>INTERRUPTIBLE TARIFFS FOR YEARLY CAPACITY:</t>
  </si>
  <si>
    <r>
      <t>Kotlovka GMS</t>
    </r>
    <r>
      <rPr>
        <b/>
        <vertAlign val="superscript"/>
        <sz val="9"/>
        <color theme="1"/>
        <rFont val="Calibri"/>
        <family val="2"/>
        <charset val="186"/>
        <scheme val="minor"/>
      </rPr>
      <t xml:space="preserve">1 </t>
    </r>
    <r>
      <rPr>
        <b/>
        <sz val="9"/>
        <color theme="1"/>
        <rFont val="Calibri"/>
        <family val="2"/>
        <charset val="186"/>
        <scheme val="minor"/>
      </rPr>
      <t xml:space="preserve">
</t>
    </r>
    <r>
      <rPr>
        <sz val="6"/>
        <color theme="1"/>
        <rFont val="Calibri"/>
        <family val="2"/>
        <charset val="186"/>
        <scheme val="minor"/>
      </rPr>
      <t>(restricted capacity product</t>
    </r>
    <r>
      <rPr>
        <vertAlign val="superscript"/>
        <sz val="6"/>
        <color theme="1"/>
        <rFont val="Calibri"/>
        <family val="2"/>
        <charset val="186"/>
        <scheme val="minor"/>
      </rPr>
      <t>8</t>
    </r>
    <r>
      <rPr>
        <sz val="6"/>
        <color theme="1"/>
        <rFont val="Calibri"/>
        <family val="2"/>
        <charset val="186"/>
        <scheme val="minor"/>
      </rPr>
      <t>)</t>
    </r>
  </si>
  <si>
    <t>Calculations of seasonal factors (SFs) at (LT) Domestic Exit Point(s) and (RU) Šakiai Exit point for Regulatory period (2024-2028)</t>
  </si>
  <si>
    <t xml:space="preserve">As required per Article 15 of TAR NC </t>
  </si>
  <si>
    <t>Only the blue cells must be filled</t>
  </si>
  <si>
    <t>May, 2023</t>
  </si>
  <si>
    <r>
      <t xml:space="preserve">Step 1:
Article 15(3)(a), (b): </t>
    </r>
    <r>
      <rPr>
        <i/>
        <sz val="10"/>
        <color theme="1"/>
        <rFont val="Calibri"/>
        <family val="2"/>
        <charset val="186"/>
        <scheme val="minor"/>
      </rPr>
      <t>"a) for each month within a given gas year the usage of the transmission system shall be calculated on the basis of forecasted flows or forecasted contracted capacity &lt;...&gt;", "b) the resulting values referred to in point</t>
    </r>
    <r>
      <rPr>
        <b/>
        <sz val="10"/>
        <color theme="1"/>
        <rFont val="Calibri"/>
        <family val="2"/>
        <charset val="186"/>
        <scheme val="minor"/>
      </rPr>
      <t xml:space="preserve"> </t>
    </r>
    <r>
      <rPr>
        <i/>
        <sz val="10"/>
        <color theme="1"/>
        <rFont val="Calibri"/>
        <family val="2"/>
        <charset val="186"/>
        <scheme val="minor"/>
      </rPr>
      <t>(a) shall be summed up;"</t>
    </r>
  </si>
  <si>
    <t>Forecasted flows for each gas month</t>
  </si>
  <si>
    <t>Jan</t>
  </si>
  <si>
    <t>Feb</t>
  </si>
  <si>
    <t>Mar</t>
  </si>
  <si>
    <t>Apr</t>
  </si>
  <si>
    <t>Jun</t>
  </si>
  <si>
    <t>Jul</t>
  </si>
  <si>
    <t>Aug</t>
  </si>
  <si>
    <t>Sep</t>
  </si>
  <si>
    <t>Oct</t>
  </si>
  <si>
    <t>Nov</t>
  </si>
  <si>
    <t>Dec</t>
  </si>
  <si>
    <t>Total</t>
  </si>
  <si>
    <t>Average (2019-2015) gas flow at Domestic Exit point(s) and Šakiai Exit point, MWh:</t>
  </si>
  <si>
    <r>
      <t xml:space="preserve">Step 2: 
Article 15(3)(c): </t>
    </r>
    <r>
      <rPr>
        <i/>
        <sz val="10"/>
        <color theme="1"/>
        <rFont val="Calibri"/>
        <family val="2"/>
        <charset val="186"/>
        <scheme val="minor"/>
      </rPr>
      <t>"c) the usage rate shall be calculated by dividing each of the resulting values referred to in point (a) by the resulting value referred to in point (b);"</t>
    </r>
  </si>
  <si>
    <t>Gas months</t>
  </si>
  <si>
    <t>Usage rate:</t>
  </si>
  <si>
    <r>
      <t xml:space="preserve">Step 3: 
Article 15(3)(d): </t>
    </r>
    <r>
      <rPr>
        <i/>
        <sz val="10"/>
        <color theme="1"/>
        <rFont val="Calibri"/>
        <family val="2"/>
        <charset val="186"/>
        <scheme val="minor"/>
      </rPr>
      <t>"d) each of the resulting values referred to in point (c) shall be multiplied by 12. Where the resulting values are equal to 0, these values shall be adjusted to whichever of the following is the lower: 0,1 or the lowest of the resulting values other than 0;"</t>
    </r>
  </si>
  <si>
    <t>Usage rate x 12:</t>
  </si>
  <si>
    <r>
      <t xml:space="preserve">Step 4: 
Article 15(3)(e): </t>
    </r>
    <r>
      <rPr>
        <i/>
        <sz val="10"/>
        <color theme="1"/>
        <rFont val="Calibri"/>
        <family val="2"/>
        <charset val="186"/>
        <scheme val="minor"/>
      </rPr>
      <t>"e) the initial level of the respective seasonal factors shall be calculated by raising each of the resulting values referred to in point (d) to the same power which is no less than 0 and no more than 2;"</t>
    </r>
  </si>
  <si>
    <t>Usage rate x 12 ^ rate of power (initial SF):</t>
  </si>
  <si>
    <t>Rate of power (0-2)</t>
  </si>
  <si>
    <r>
      <t xml:space="preserve">Step 5: 
Article 15(3)(f): </t>
    </r>
    <r>
      <rPr>
        <i/>
        <sz val="10"/>
        <color theme="1"/>
        <rFont val="Calibri"/>
        <family val="2"/>
        <charset val="186"/>
        <scheme val="minor"/>
      </rPr>
      <t xml:space="preserve">"f) the arithmetic mean of the products of the resulting values referred to in point (e) and the multiplier for monthly standard capacity products shall be calculated;"
</t>
    </r>
    <r>
      <rPr>
        <b/>
        <sz val="10"/>
        <color theme="1"/>
        <rFont val="Calibri"/>
        <family val="2"/>
        <charset val="186"/>
        <scheme val="minor"/>
      </rPr>
      <t>Article 15(4):</t>
    </r>
    <r>
      <rPr>
        <i/>
        <sz val="10"/>
        <color theme="1"/>
        <rFont val="Calibri"/>
        <family val="2"/>
        <charset val="186"/>
        <scheme val="minor"/>
      </rPr>
      <t xml:space="preserve"> "For daily standard capacity products for firm capacity and within-day standard capacity products for firm capacity, the seasonal factors shall be calculated by carrying out the steps set out in paragraph 3(f) to (h), mutatis mutandis."</t>
    </r>
  </si>
  <si>
    <t>Average</t>
  </si>
  <si>
    <t>Initial SF x Monthly multiplier:</t>
  </si>
  <si>
    <t>Initial SF x Daily/Within-day multiplier:</t>
  </si>
  <si>
    <t>Monthly multiplier</t>
  </si>
  <si>
    <t>Daily/Within-day multiplier</t>
  </si>
  <si>
    <r>
      <t xml:space="preserve">Step 6: 
Article 15(3)(g): </t>
    </r>
    <r>
      <rPr>
        <i/>
        <sz val="10"/>
        <color theme="1"/>
        <rFont val="Calibri"/>
        <family val="2"/>
        <charset val="186"/>
        <scheme val="minor"/>
      </rPr>
      <t xml:space="preserve">"g) the resulting value referred to in point (f) shall be compared with the range referred to in Article 13(1), as follows, 
              (i) if this value falls within this range then the level of seasonal factors shall be equal to with the respective resulting values referred to in point (e);
              (ii) if this value falls outside of this range then point (h) shall apply;"
</t>
    </r>
    <r>
      <rPr>
        <b/>
        <sz val="10"/>
        <color theme="1"/>
        <rFont val="Calibri"/>
        <family val="2"/>
        <charset val="186"/>
        <scheme val="minor"/>
      </rPr>
      <t xml:space="preserve">Article 13(1): </t>
    </r>
    <r>
      <rPr>
        <sz val="10"/>
        <color theme="1"/>
        <rFont val="Calibri"/>
        <family val="2"/>
        <charset val="186"/>
        <scheme val="minor"/>
      </rPr>
      <t>"</t>
    </r>
    <r>
      <rPr>
        <i/>
        <sz val="10"/>
        <color theme="1"/>
        <rFont val="Calibri"/>
        <family val="2"/>
        <charset val="186"/>
        <scheme val="minor"/>
      </rPr>
      <t xml:space="preserve">13&lt;..&gt;1. The level of multipliers shall fall within the following ranges: 
              (a) for quarterly standard capacity products and for monthly standard capacity products, the level of the respective multiplier shall be no less than 1 and no more than 1,5; 
              (b) for daily standard capacity products and for within-day standard capacity products, the level of the respective multiplier shall be no less than 1 and no more than 3. In duly justified cases, the  level of the respective multipliers may be less than 1, but higher than 0, or higher than 3.
</t>
    </r>
    <r>
      <rPr>
        <b/>
        <sz val="10"/>
        <color theme="1"/>
        <rFont val="Calibri"/>
        <family val="2"/>
        <charset val="186"/>
        <scheme val="minor"/>
      </rPr>
      <t>Article 15(3)(h):</t>
    </r>
    <r>
      <rPr>
        <i/>
        <sz val="10"/>
        <color theme="1"/>
        <rFont val="Calibri"/>
        <family val="2"/>
        <charset val="186"/>
        <scheme val="minor"/>
      </rPr>
      <t xml:space="preserve"> "h) the level of seasonal factors shall be calculated as the product of the respective resulting values referred to in point (e) and the correction factor calculated as follows:
               i) where the resulting value referred to in point (f) is more than 1,5, the correction factor shall be calculated as 1,5 divided by this value; 
               ii) where the resulting value referred to in point (f) is less than 1, the correction factor shall be calculated as 1 divided by this value."</t>
    </r>
  </si>
  <si>
    <t>Monthly SF (initial SF x correction factor):</t>
  </si>
  <si>
    <t>Daily/Within day  SF (initial SF x correction factor):</t>
  </si>
  <si>
    <t>Correction factor: Monthly</t>
  </si>
  <si>
    <t>Correction factor: Daily/Within-day</t>
  </si>
  <si>
    <r>
      <t xml:space="preserve">Step 7: 
Article 15(5): </t>
    </r>
    <r>
      <rPr>
        <i/>
        <sz val="10"/>
        <color theme="1"/>
        <rFont val="Calibri"/>
        <family val="2"/>
        <charset val="186"/>
        <scheme val="minor"/>
      </rPr>
      <t xml:space="preserve">"For quarterly standard capacity products for firm capacity, the seasonal factors shall be calculated in sequential steps as follows:
              (a) the initial level of the respective seasonal factors shall be calculated as either of the following: 
                      (i) equal to the arithmetic mean of the respective seasonal factors applicable for the three relevant months; 
                      (ii) no less than the lowest and no more than the highest level of the respective seasonal factors applicable for the three relevant months;
              (b) the steps set out in paragraph 3(f) to (h) shall be carried out, using the resulting values referred to in point (a), mutatis mutandis.“
</t>
    </r>
    <r>
      <rPr>
        <b/>
        <sz val="10"/>
        <color theme="1"/>
        <rFont val="Calibri"/>
        <family val="2"/>
        <charset val="186"/>
        <scheme val="minor"/>
      </rPr>
      <t/>
    </r>
  </si>
  <si>
    <t>Gas quarters</t>
  </si>
  <si>
    <t>Q I</t>
  </si>
  <si>
    <t>Q II</t>
  </si>
  <si>
    <t>Q III</t>
  </si>
  <si>
    <t>Q IV</t>
  </si>
  <si>
    <r>
      <t xml:space="preserve">Step 8: 
Article 15(6): </t>
    </r>
    <r>
      <rPr>
        <i/>
        <sz val="10"/>
        <color theme="1"/>
        <rFont val="Calibri"/>
        <family val="2"/>
        <charset val="186"/>
        <scheme val="minor"/>
      </rPr>
      <t xml:space="preserve">"For all non-yearly standard capacity products for firm capacity, the values resulting from the calculation referred to in paragraphs 3 to 5 may be rounded up or down."     
</t>
    </r>
    <r>
      <rPr>
        <b/>
        <sz val="10"/>
        <color theme="1"/>
        <rFont val="Calibri"/>
        <family val="2"/>
        <charset val="186"/>
        <scheme val="minor"/>
      </rPr>
      <t/>
    </r>
  </si>
  <si>
    <t>Quarterly SF:</t>
  </si>
  <si>
    <r>
      <rPr>
        <b/>
        <sz val="10"/>
        <color theme="1"/>
        <rFont val="Calibri"/>
        <family val="2"/>
        <charset val="186"/>
        <scheme val="minor"/>
      </rPr>
      <t>Monthly SF</t>
    </r>
    <r>
      <rPr>
        <sz val="10"/>
        <color theme="1"/>
        <rFont val="Calibri"/>
        <family val="2"/>
        <charset val="186"/>
        <scheme val="minor"/>
      </rPr>
      <t xml:space="preserve"> (final - to be applied in tariffs):</t>
    </r>
  </si>
  <si>
    <r>
      <rPr>
        <b/>
        <sz val="10"/>
        <color theme="1"/>
        <rFont val="Calibri"/>
        <family val="2"/>
        <charset val="186"/>
        <scheme val="minor"/>
      </rPr>
      <t>Daily / Within-day SF</t>
    </r>
    <r>
      <rPr>
        <sz val="10"/>
        <color theme="1"/>
        <rFont val="Calibri"/>
        <family val="2"/>
        <charset val="186"/>
        <scheme val="minor"/>
      </rPr>
      <t xml:space="preserve"> (final - to be applied in tariffs):</t>
    </r>
  </si>
  <si>
    <r>
      <rPr>
        <b/>
        <sz val="10"/>
        <color theme="1"/>
        <rFont val="Calibri"/>
        <family val="2"/>
        <charset val="186"/>
        <scheme val="minor"/>
      </rPr>
      <t xml:space="preserve">Quarterly SF </t>
    </r>
    <r>
      <rPr>
        <sz val="10"/>
        <color theme="1"/>
        <rFont val="Calibri"/>
        <family val="2"/>
        <charset val="186"/>
        <scheme val="minor"/>
      </rPr>
      <t>(final - to be applied in tariffs):</t>
    </r>
  </si>
  <si>
    <t>Number of days per year</t>
  </si>
  <si>
    <t>Number of days per Quarter</t>
  </si>
  <si>
    <t>Number of days per Month</t>
  </si>
  <si>
    <t>hours in a year</t>
  </si>
  <si>
    <t>hours in a quarter</t>
  </si>
  <si>
    <t>hours in a month</t>
  </si>
  <si>
    <t>Number of calendar days per years/quarters/months:</t>
  </si>
  <si>
    <t>MULTIPLIERS, SEASONAL FACTORS, NUMBER OF DAYS PER PERIODS:</t>
  </si>
  <si>
    <t>Tariffs for short-term capacity products of transmission services for 2024</t>
  </si>
  <si>
    <r>
      <t>Multipliers (Ms)</t>
    </r>
    <r>
      <rPr>
        <sz val="10"/>
        <color theme="1"/>
        <rFont val="Calibri"/>
        <family val="2"/>
        <charset val="186"/>
        <scheme val="minor"/>
      </rPr>
      <t xml:space="preserve"> (for Quarterly (Q), Monthly (M), Daily/Within-day (D/WD) capacity products):</t>
    </r>
  </si>
  <si>
    <t>For all Entry points</t>
  </si>
  <si>
    <t>For (LT&gt;LV) Kiemenai Exit Point
and (LT&gt;PL) GIPL (Santaka)  Exit Point</t>
  </si>
  <si>
    <t>For (LT) Domestic and Šakiai Exit points</t>
  </si>
  <si>
    <t>Q</t>
  </si>
  <si>
    <t>D</t>
  </si>
  <si>
    <t>WD</t>
  </si>
  <si>
    <t>D/WD</t>
  </si>
  <si>
    <t>Seasonal factors (SFs):</t>
  </si>
  <si>
    <t>SFs for (LT) Domestic Exit Point(s):</t>
  </si>
  <si>
    <t>For Quarterly products</t>
  </si>
  <si>
    <t>For Monthly products</t>
  </si>
  <si>
    <t>For Daily/Within-day products</t>
  </si>
  <si>
    <t>SFs for (LT&gt;RU) Šakiai Exit Point:</t>
  </si>
  <si>
    <t>Tariff Year 2024</t>
  </si>
  <si>
    <r>
      <rPr>
        <sz val="10"/>
        <color theme="1"/>
        <rFont val="Calibri"/>
        <family val="2"/>
        <charset val="186"/>
        <scheme val="minor"/>
      </rPr>
      <t>Tariffs for</t>
    </r>
    <r>
      <rPr>
        <b/>
        <sz val="10"/>
        <color theme="1"/>
        <rFont val="Calibri"/>
        <family val="2"/>
        <charset val="186"/>
        <scheme val="minor"/>
      </rPr>
      <t xml:space="preserve"> Quarterly capacity</t>
    </r>
  </si>
  <si>
    <r>
      <rPr>
        <sz val="10"/>
        <color theme="1"/>
        <rFont val="Calibri"/>
        <family val="2"/>
        <charset val="186"/>
        <scheme val="minor"/>
      </rPr>
      <t xml:space="preserve">Tariffs for </t>
    </r>
    <r>
      <rPr>
        <b/>
        <sz val="10"/>
        <color theme="1"/>
        <rFont val="Calibri"/>
        <family val="2"/>
        <charset val="186"/>
        <scheme val="minor"/>
      </rPr>
      <t>Monthly capacity</t>
    </r>
  </si>
  <si>
    <r>
      <rPr>
        <sz val="10"/>
        <color theme="1"/>
        <rFont val="Calibri"/>
        <family val="2"/>
        <charset val="186"/>
        <scheme val="minor"/>
      </rPr>
      <t>Tariffs for</t>
    </r>
    <r>
      <rPr>
        <b/>
        <sz val="10"/>
        <color theme="1"/>
        <rFont val="Calibri"/>
        <family val="2"/>
        <charset val="186"/>
        <scheme val="minor"/>
      </rPr>
      <t xml:space="preserve"> Daily capacity</t>
    </r>
  </si>
  <si>
    <r>
      <rPr>
        <sz val="10"/>
        <color theme="1"/>
        <rFont val="Calibri"/>
        <family val="2"/>
        <charset val="186"/>
        <scheme val="minor"/>
      </rPr>
      <t>Tariffs for</t>
    </r>
    <r>
      <rPr>
        <b/>
        <sz val="10"/>
        <color theme="1"/>
        <rFont val="Calibri"/>
        <family val="2"/>
        <charset val="186"/>
        <scheme val="minor"/>
      </rPr>
      <t xml:space="preserve"> Within-day capacity</t>
    </r>
  </si>
  <si>
    <t>Reference prices</t>
  </si>
  <si>
    <t xml:space="preserve"> tariffs for non-yearly capacity, as a % of reference price for:</t>
  </si>
  <si>
    <t>all Entry points</t>
  </si>
  <si>
    <t>(LT&gt;LV) Kiemėnai (LT&gt;PL) Exit Point</t>
  </si>
  <si>
    <t>(LT) Domestic Exit Point(s)</t>
  </si>
  <si>
    <t>(PL&gt;LT) Santaka Entry Point</t>
  </si>
  <si>
    <t>(LT) Domestic Entry Point</t>
  </si>
  <si>
    <t>(LT) Domestic Exit Point</t>
  </si>
  <si>
    <t>(LT) Domestic Exit-Achema</t>
  </si>
  <si>
    <t xml:space="preserve">Domestic Exit </t>
  </si>
  <si>
    <t>TARIFF CALCULATION MODEL 2024</t>
  </si>
  <si>
    <t>Calculations of reference prices and tariffs for transmission services (VAT excluded) for tariff years 2023-2028 (on using natural gas transmission network infrastructure of AB Amber Grid)</t>
  </si>
  <si>
    <t xml:space="preserve">Reference prices (for firm yearly capacity products), flow-based tariffs and tariffs for consumption capacity </t>
  </si>
  <si>
    <r>
      <t xml:space="preserve">Only the </t>
    </r>
    <r>
      <rPr>
        <b/>
        <i/>
        <u/>
        <sz val="11"/>
        <color rgb="FFFF0000"/>
        <rFont val="Calibri"/>
        <family val="2"/>
        <charset val="186"/>
        <scheme val="minor"/>
      </rPr>
      <t>blue cells</t>
    </r>
    <r>
      <rPr>
        <b/>
        <i/>
        <sz val="11"/>
        <color theme="4" tint="-0.249977111117893"/>
        <rFont val="Calibri"/>
        <family val="2"/>
        <charset val="186"/>
        <scheme val="minor"/>
      </rPr>
      <t xml:space="preserve"> must be filled (grey/green cells: reference calculations or factual input/output data; orange cell: data from another sheet)</t>
    </r>
  </si>
  <si>
    <r>
      <rPr>
        <b/>
        <sz val="11"/>
        <rFont val="Calibri"/>
        <family val="2"/>
        <charset val="186"/>
        <scheme val="minor"/>
      </rPr>
      <t>EXPLANATIONS:</t>
    </r>
    <r>
      <rPr>
        <sz val="11"/>
        <rFont val="Calibri"/>
        <family val="2"/>
        <charset val="186"/>
        <scheme val="minor"/>
      </rPr>
      <t xml:space="preserve">
3 Sheets of this Model are for the following purposes:
 - this Sheet: for calculation of reference prices (for firm yearly capacity products), flow-based tariffs, tariffs for consumption capacity (main input data must be entered in this Sheet);
- Sheet Ms_SFs, Short-term tar.: for calculation of tariffs for firm short-term capacity products  for 2023-2024, including input data for Multipliers and Seasonal factors;
- Sheet Calculation of SFs_Unified: for calculation of Seasonal factors at Domestic and Šakiai Exit Points</t>
    </r>
  </si>
  <si>
    <t>! Irrespectively from the input data, the Entry (%) share of initial Entry/Exit split for 2023-2024 (cells E75:F76 of this Sheet) must be adjusted in a level that reference price at Kotlovka Entry Point (for freely allocable capacity) (cells E120:F120 of this Sheet) would be equal to tariff foreseen to be applied in FINESTLAT (EUR 142.77)</t>
  </si>
  <si>
    <t>Tariff year 2023</t>
  </si>
  <si>
    <t>Tariff year 2024</t>
  </si>
  <si>
    <t>Filled:</t>
  </si>
  <si>
    <t>Not filled:</t>
  </si>
  <si>
    <t xml:space="preserve">     thereof AR without evaluation of Regulatory account and CBCA</t>
  </si>
  <si>
    <t xml:space="preserve">     thereof Regulatory account</t>
  </si>
  <si>
    <t xml:space="preserve">      thereof CBCA</t>
  </si>
  <si>
    <r>
      <rPr>
        <b/>
        <sz val="10"/>
        <color theme="1"/>
        <rFont val="Calibri"/>
        <family val="2"/>
        <charset val="186"/>
        <scheme val="minor"/>
      </rPr>
      <t xml:space="preserve">Allowed revenue (AR) </t>
    </r>
    <r>
      <rPr>
        <sz val="10"/>
        <color theme="1"/>
        <rFont val="Calibri"/>
        <family val="2"/>
        <charset val="186"/>
        <scheme val="minor"/>
      </rPr>
      <t>(for 2023-2024: as determined by NRA):</t>
    </r>
  </si>
  <si>
    <r>
      <t xml:space="preserve">Redistribution of LNGT discount for the previous periods for EU Exit points </t>
    </r>
    <r>
      <rPr>
        <sz val="10"/>
        <color theme="1"/>
        <rFont val="Calibri"/>
        <family val="2"/>
        <charset val="186"/>
        <scheme val="minor"/>
      </rPr>
      <t>(allocated for Primary network)</t>
    </r>
  </si>
  <si>
    <t xml:space="preserve">     thereof (LT&gt;LV) Kiemėnai Exit Point</t>
  </si>
  <si>
    <t xml:space="preserve">     thereof (LT&gt;PL) Santaka Exit Point</t>
  </si>
  <si>
    <t xml:space="preserve">     thereof (LT) Domestic Exit Point(s)</t>
  </si>
  <si>
    <t>Allocation of AR by services before evaluation of Regulatory account:</t>
  </si>
  <si>
    <t xml:space="preserve">     thereof allocated for Primary network (initial level for setting reference prices for transmission via Primary network services (for firm yearly capacity products))</t>
  </si>
  <si>
    <t xml:space="preserve">thereof allocated for transportation to 3rd country service </t>
  </si>
  <si>
    <r>
      <t xml:space="preserve">     thereof allocated for </t>
    </r>
    <r>
      <rPr>
        <b/>
        <sz val="10"/>
        <color theme="1"/>
        <rFont val="Calibri"/>
        <family val="2"/>
        <charset val="186"/>
        <scheme val="minor"/>
      </rPr>
      <t>Secondary (Local) network</t>
    </r>
  </si>
  <si>
    <t>thereof Domestic Exit Point - Achema</t>
  </si>
  <si>
    <t>thereof Domestic Exit Point</t>
  </si>
  <si>
    <r>
      <t xml:space="preserve">     thereof allocated for </t>
    </r>
    <r>
      <rPr>
        <b/>
        <i/>
        <sz val="10"/>
        <color theme="1"/>
        <rFont val="Calibri"/>
        <family val="2"/>
        <charset val="186"/>
        <scheme val="minor"/>
      </rPr>
      <t>Secondary (Local) network</t>
    </r>
    <r>
      <rPr>
        <i/>
        <sz val="10"/>
        <color theme="1"/>
        <rFont val="Calibri"/>
        <family val="2"/>
        <charset val="186"/>
        <scheme val="minor"/>
      </rPr>
      <t xml:space="preserve"> for consumption capacity</t>
    </r>
  </si>
  <si>
    <t>thereof Domestic Exit Point - Achema for consumption capacity</t>
  </si>
  <si>
    <t>thereof Domestic Exit Point  for consumption capacity</t>
  </si>
  <si>
    <t xml:space="preserve">     share of revenue for Secondary (Local) network attributed to Domestic Exit Point(s) for firm capacity products</t>
  </si>
  <si>
    <t xml:space="preserve">   share of revenue for consumption capacity in revenue for Secondary network's services</t>
  </si>
  <si>
    <t>Allocation of Regulatory account for Primary and Secondary (Local) networks:</t>
  </si>
  <si>
    <t>thereof for Primary network</t>
  </si>
  <si>
    <t>thereof for Secondary (Local) network</t>
  </si>
  <si>
    <t>Allocation of AR by services after evaluation of Regulatory account:</t>
  </si>
  <si>
    <r>
      <t xml:space="preserve">     thereof allocated for</t>
    </r>
    <r>
      <rPr>
        <b/>
        <sz val="10"/>
        <color theme="1"/>
        <rFont val="Calibri"/>
        <family val="2"/>
        <charset val="186"/>
        <scheme val="minor"/>
      </rPr>
      <t xml:space="preserve"> Primary network</t>
    </r>
    <r>
      <rPr>
        <sz val="10"/>
        <color theme="1"/>
        <rFont val="Calibri"/>
        <family val="2"/>
        <charset val="186"/>
        <scheme val="minor"/>
      </rPr>
      <t xml:space="preserve"> (level for setting reference prices for transmission via Primary network services (for firm yearly capacity products))</t>
    </r>
  </si>
  <si>
    <r>
      <t xml:space="preserve">     thereof allocated for </t>
    </r>
    <r>
      <rPr>
        <b/>
        <sz val="10"/>
        <color theme="1"/>
        <rFont val="Calibri"/>
        <family val="2"/>
        <charset val="186"/>
        <scheme val="minor"/>
      </rPr>
      <t>Secondary (Local) network</t>
    </r>
    <r>
      <rPr>
        <sz val="10"/>
        <color theme="1"/>
        <rFont val="Calibri"/>
        <family val="2"/>
        <charset val="186"/>
        <scheme val="minor"/>
      </rPr>
      <t xml:space="preserve"> for consumption capacity</t>
    </r>
  </si>
  <si>
    <t xml:space="preserve">     thereof allocated for Primarynetwork for Secondary (Local) network</t>
  </si>
  <si>
    <t>thereof Domestic Exit Point  for capacity-based tariffs (for firm yearly capacity products)</t>
  </si>
  <si>
    <t>thereof Domestic Exit Point - Achema for capacity-based tariffs (for firm yearly capacity products)</t>
  </si>
  <si>
    <r>
      <t xml:space="preserve">Part of AR, </t>
    </r>
    <r>
      <rPr>
        <sz val="10"/>
        <color theme="1"/>
        <rFont val="Calibri"/>
        <family val="2"/>
        <charset val="186"/>
        <scheme val="minor"/>
      </rPr>
      <t>attributable to</t>
    </r>
    <r>
      <rPr>
        <b/>
        <sz val="10"/>
        <color theme="1"/>
        <rFont val="Calibri"/>
        <family val="2"/>
        <charset val="238"/>
        <scheme val="minor"/>
      </rPr>
      <t xml:space="preserve"> calculation of reference prices for transmission via Primary network services (for firm yearly capacity), prices for long-term transmission via Secondary's network services and commodity tariffs:</t>
    </r>
  </si>
  <si>
    <r>
      <t xml:space="preserve">Part of AR, </t>
    </r>
    <r>
      <rPr>
        <sz val="10"/>
        <color theme="1"/>
        <rFont val="Calibri"/>
        <family val="2"/>
        <charset val="186"/>
        <scheme val="minor"/>
      </rPr>
      <t>attributable to</t>
    </r>
    <r>
      <rPr>
        <b/>
        <sz val="10"/>
        <color theme="1"/>
        <rFont val="Calibri"/>
        <family val="2"/>
        <charset val="238"/>
        <scheme val="minor"/>
      </rPr>
      <t xml:space="preserve"> Primary network's services (before evaluation of Regulatory account):</t>
    </r>
  </si>
  <si>
    <t>thereof allocated for gas transmission for EU needs via Primary network service</t>
  </si>
  <si>
    <t>thereof allocated for transportation to 3rd country service for capacity-based tariffs</t>
  </si>
  <si>
    <t>thereof allocated for gas transmission for EU needs via Primary network service for capacity-based tariffs</t>
  </si>
  <si>
    <t>thereof allocated for transportation to 3rd country service for commodity-based tariffs</t>
  </si>
  <si>
    <t>thereof allocated for gas transmission for EU needs via Primary network service for commodity-based tariffs</t>
  </si>
  <si>
    <r>
      <t>Entry/Exit split</t>
    </r>
    <r>
      <rPr>
        <sz val="10"/>
        <color theme="1"/>
        <rFont val="Calibri"/>
        <family val="2"/>
        <charset val="186"/>
        <scheme val="minor"/>
      </rPr>
      <t xml:space="preserve"> (initial/as an input)</t>
    </r>
  </si>
  <si>
    <t xml:space="preserve">Entry </t>
  </si>
  <si>
    <t xml:space="preserve">Exit </t>
  </si>
  <si>
    <t>Capacity/commodity split</t>
  </si>
  <si>
    <t>Capacity</t>
  </si>
  <si>
    <t>Commodity</t>
  </si>
  <si>
    <t xml:space="preserve">LNG Entry (Klaipėda) point Discount </t>
  </si>
  <si>
    <t xml:space="preserve">GIPL (Santaka) Entry (Poland) point Discount </t>
  </si>
  <si>
    <r>
      <t>Entry/Exit split</t>
    </r>
    <r>
      <rPr>
        <sz val="10"/>
        <color theme="1"/>
        <rFont val="Calibri"/>
        <family val="2"/>
        <charset val="186"/>
        <scheme val="minor"/>
      </rPr>
      <t xml:space="preserve"> (as a result of application of RPM)</t>
    </r>
  </si>
  <si>
    <t xml:space="preserve">Total of all Entry points for transportation to Exit points, other than to Šakiai Exit Point </t>
  </si>
  <si>
    <t>MWh/day/year</t>
  </si>
  <si>
    <t>LT Domestic Entry Point</t>
  </si>
  <si>
    <t>(LV&gt;LT)  Santaka Entry Point</t>
  </si>
  <si>
    <t>(BY&gt;LT) Kotlovka Entry Point (restricted capacity)</t>
  </si>
  <si>
    <t xml:space="preserve">Total of all Exit points </t>
  </si>
  <si>
    <t>Domestic Exit Point</t>
  </si>
  <si>
    <t>Domestic Exit Point - Achema</t>
  </si>
  <si>
    <r>
      <t>Forecast of capacity booking</t>
    </r>
    <r>
      <rPr>
        <sz val="10"/>
        <color theme="1"/>
        <rFont val="Calibri"/>
        <family val="2"/>
        <charset val="186"/>
        <scheme val="minor"/>
      </rPr>
      <t xml:space="preserve">(for derivation of capacity-based transmission tariffs) </t>
    </r>
  </si>
  <si>
    <r>
      <t xml:space="preserve">Forecast of gas flows and consumption capacity </t>
    </r>
    <r>
      <rPr>
        <sz val="10"/>
        <color theme="1"/>
        <rFont val="Calibri"/>
        <family val="2"/>
        <charset val="186"/>
        <scheme val="minor"/>
      </rPr>
      <t xml:space="preserve">(for derivation of commocity-based transmission (using Primary network services) tariffs and Secondary network's tariffs) </t>
    </r>
  </si>
  <si>
    <t>All Exit points: total sum of Exit gas flows for derivation of commodity-based transmission tariff</t>
  </si>
  <si>
    <t>MWh/year</t>
  </si>
  <si>
    <t>local network component for LT Domestic Exit Point</t>
  </si>
  <si>
    <t>EUR/MWh/day/year</t>
  </si>
  <si>
    <t>local network component for LT Domestic Exit Point - Achema</t>
  </si>
  <si>
    <t>Final (LT) Domestic Exit Point</t>
  </si>
  <si>
    <t>Final (LT) Domestic Exit-Achema</t>
  </si>
  <si>
    <t>Flow-based tariffs:</t>
  </si>
  <si>
    <t>Tariffs for Consumption capacity at Domestic Exit Point(s):</t>
  </si>
  <si>
    <t xml:space="preserve">Capacity-based tariffs: Reserve prices (for firm yearly capacity products) </t>
  </si>
  <si>
    <t xml:space="preserve">TRANSMISSION TARIFFS: </t>
  </si>
  <si>
    <t>Commodity-based tariff at all Exit points</t>
  </si>
  <si>
    <t>CALCULATION OF FLOW-BASED TARIFFS' COMPONENTS FOR PRIMARY AND SECONDARY NETWORKS:</t>
  </si>
  <si>
    <t>Primary network:</t>
  </si>
  <si>
    <t>COST ALLOCATION ASSESSMENT (CAA) (under Article 5 of TAR NC) for the tariff period of 2024:</t>
  </si>
  <si>
    <r>
      <t>CAA for capacity-based tariffs (under Article 5(3) of TAR NC)</t>
    </r>
    <r>
      <rPr>
        <b/>
        <sz val="10"/>
        <color rgb="FFFF0000"/>
        <rFont val="Calibri"/>
        <family val="2"/>
        <charset val="186"/>
        <scheme val="minor"/>
      </rPr>
      <t/>
    </r>
  </si>
  <si>
    <t>Total revenue: intra-system + cross-system</t>
  </si>
  <si>
    <t xml:space="preserve">Revenue: intra-system </t>
  </si>
  <si>
    <t>Entry</t>
  </si>
  <si>
    <t>Exit</t>
  </si>
  <si>
    <t xml:space="preserve">Revenue: cross-system* </t>
  </si>
  <si>
    <t>Sum of  Cost drivers (forecasted capacity (annualised)): intra-system + cross-system</t>
  </si>
  <si>
    <t>Cost driver (forecasted capacity (annualised)): intra-system</t>
  </si>
  <si>
    <t>Cost driver (forecasted capacity (annualised)): cross-system</t>
  </si>
  <si>
    <t>Revenue / cost driver ratio - intra-system</t>
  </si>
  <si>
    <t>Eur/MWh/day/year</t>
  </si>
  <si>
    <t>Revenue / cost driver ratio - cross-system</t>
  </si>
  <si>
    <t>CAA comparison index</t>
  </si>
  <si>
    <t>CAA for commodity-based tariffs (under Article 5(4) of TAR NC)</t>
  </si>
  <si>
    <t xml:space="preserve">Revenue - intra-system </t>
  </si>
  <si>
    <t xml:space="preserve">Revenue - cross-system </t>
  </si>
  <si>
    <t>Cost driver (forecast of annual gas flows) - intra-system</t>
  </si>
  <si>
    <t>Cost driver (forecast of annual gas flows) - cross-system</t>
  </si>
  <si>
    <t>Redistribution of LNGT discount of 2020-2022 allocated to EU Exit Points (allocated to Primary network)</t>
  </si>
  <si>
    <t xml:space="preserve">Final LNGT discount redistribution of 2021 EU exit points (allocated to Primary network) for year 2023 </t>
  </si>
  <si>
    <t xml:space="preserve">Final LNGT discount redistribution of 2020 EU exit points (allocated to Primary network) for year 2023 </t>
  </si>
  <si>
    <t>Partial LNGT discount redistribution of 2022 EU exit points (allocated to Primary network) for year 2023
Final LNGT discount redistribution of 2022 EU exit points (allocated to Primary network) for year 2024</t>
  </si>
  <si>
    <t>Change 2024 vs. 2023, %</t>
  </si>
  <si>
    <t>Change 2024 vs. 2023</t>
  </si>
  <si>
    <t>2023 Revenue according to prices</t>
  </si>
  <si>
    <t>2024 Revenue according to prices</t>
  </si>
  <si>
    <t>Revenue change 2024</t>
  </si>
  <si>
    <t>thou. EUR</t>
  </si>
  <si>
    <t>Total:</t>
  </si>
  <si>
    <t>Check with allowed revenue</t>
  </si>
  <si>
    <r>
      <t xml:space="preserve">Tariff year 2024 </t>
    </r>
    <r>
      <rPr>
        <sz val="12"/>
        <color theme="1" tint="0.14999847407452621"/>
        <rFont val="Calibri"/>
        <family val="2"/>
        <charset val="186"/>
        <scheme val="minor"/>
      </rPr>
      <t>(including transmission to 3rd country service and transmission to Domestic Exit point(s) for local network)</t>
    </r>
  </si>
  <si>
    <r>
      <t xml:space="preserve">Tariff year 2024 </t>
    </r>
    <r>
      <rPr>
        <sz val="12"/>
        <color theme="1" tint="0.14999847407452621"/>
        <rFont val="Calibri"/>
        <family val="2"/>
        <charset val="186"/>
        <scheme val="minor"/>
      </rPr>
      <t>(including transmission to 3rd country service, excluding transmission to Domestic Exit point(s) for local network)</t>
    </r>
  </si>
  <si>
    <r>
      <t xml:space="preserve">Tariff year 2024 </t>
    </r>
    <r>
      <rPr>
        <sz val="12"/>
        <color theme="1" tint="0.14999847407452621"/>
        <rFont val="Calibri"/>
        <family val="2"/>
        <charset val="186"/>
        <scheme val="minor"/>
      </rPr>
      <t>(including transmission to Domestic Exit point(s) for local network, excluding transmission to 3rd country service)</t>
    </r>
  </si>
  <si>
    <r>
      <t xml:space="preserve">Tariff year 2024 </t>
    </r>
    <r>
      <rPr>
        <sz val="12"/>
        <color theme="1" tint="0.14999847407452621"/>
        <rFont val="Calibri"/>
        <family val="2"/>
        <charset val="186"/>
        <scheme val="minor"/>
      </rPr>
      <t>(excluding transmission to Domestic Exit point(s) for local network and transmission to 3rd country service)</t>
    </r>
  </si>
  <si>
    <r>
      <t xml:space="preserve">Tariff year 2024 </t>
    </r>
    <r>
      <rPr>
        <sz val="10"/>
        <color theme="1" tint="0.14999847407452621"/>
        <rFont val="Calibri"/>
        <family val="2"/>
        <charset val="186"/>
        <scheme val="minor"/>
      </rPr>
      <t>(excluding transmission to Domestic Exit point(s) for local network, transmission to 3rd country service and regulatory account)</t>
    </r>
  </si>
  <si>
    <t>2024 Tariff year</t>
  </si>
  <si>
    <t>Before evaluating regulatory account</t>
  </si>
  <si>
    <t>After evaluating regulatory account</t>
  </si>
  <si>
    <t>ADDITIONAL INFO:</t>
  </si>
  <si>
    <t>Related to Entry/Exit shares of revenue for capacity-based tariffs of Primary network:</t>
  </si>
  <si>
    <t>Entry/Exit split (initial/as an input)</t>
  </si>
  <si>
    <t>Entry/Exit split (as a result of application of RPM), including CBCA</t>
  </si>
  <si>
    <t>* For values expressed as a percentage: see above in this Tariff Model.</t>
  </si>
  <si>
    <t>Entry/Exit split (as a result of application of RPM) including transmission services for region (i.e. revenues for Consumption capacity and additional capacity products), including CBCA</t>
  </si>
  <si>
    <t>Entry/Exit split (as a result of application of RPM) including transmission services for Domestic Exit (i.e. revenues for Consumption capacity and additional capacity products), including CBCA</t>
  </si>
  <si>
    <t>Total Entry / Exit share of total allowed revenue of TSO (taking into account all transmission services)</t>
  </si>
  <si>
    <t>Total capacity / commodity of total allowed revenue of TSO (taking into account all transmission services)</t>
  </si>
  <si>
    <t>Multipliers, seasonal factors, long and short term capacities, annual capacity equivalent calculation etc.</t>
  </si>
  <si>
    <t>Multipliers (Ms), seasonal factors (SFs)</t>
  </si>
  <si>
    <t>Ms for all Entry Points</t>
  </si>
  <si>
    <t>Ms Quarter</t>
  </si>
  <si>
    <t>Ms Monthly</t>
  </si>
  <si>
    <t>Ms Daily</t>
  </si>
  <si>
    <t>Ms Within-days</t>
  </si>
  <si>
    <t>Ms (LT&gt;LV) Kiemėnai Exit Points (LT&gt;PL) Santakos Exit Points</t>
  </si>
  <si>
    <t>Ms Domestic and Šakiai Exit Points</t>
  </si>
  <si>
    <t>SFs for quarter term products for Domestic Exit point(s)</t>
  </si>
  <si>
    <t>I quarter</t>
  </si>
  <si>
    <t>II quarter</t>
  </si>
  <si>
    <t>III quarter</t>
  </si>
  <si>
    <t>IV quarter</t>
  </si>
  <si>
    <t>SFs for monthly term products for Domestic Exit point(s)</t>
  </si>
  <si>
    <t>SFs for daily/within-day term products for Domestic Exit point(s)</t>
  </si>
  <si>
    <t>Forecast of long-term, short-term capacities and annual capacity equivalent calculation</t>
  </si>
  <si>
    <t>long-term firm capacity equivalent (MWh/parą/metus)</t>
  </si>
  <si>
    <t>firm yearl/quarter/month/daily/within-day capacity products (not evaluating multipliers) expressed in yearly capacity</t>
  </si>
  <si>
    <t>Year</t>
  </si>
  <si>
    <t>Avg. price for Lithuanian consumers (incl. Short-term, long-term products), Eur/MWh</t>
  </si>
  <si>
    <t>Change, %</t>
  </si>
  <si>
    <t>MWh/d/year</t>
  </si>
  <si>
    <t>Eur/MWh/d/quarter</t>
  </si>
  <si>
    <t>Eur/MWh/d/month</t>
  </si>
  <si>
    <t>Eur/MWh/d</t>
  </si>
  <si>
    <t>Quarter</t>
  </si>
  <si>
    <t>Monthly</t>
  </si>
  <si>
    <t>Day</t>
  </si>
  <si>
    <t>Within-day</t>
  </si>
  <si>
    <t>Day/ Within-day</t>
  </si>
  <si>
    <t>Days</t>
  </si>
  <si>
    <t>(BY&gt;LT) Kotlovka Entry Point, annual capacity equivalent</t>
  </si>
  <si>
    <t>(BY&gt;LT) Kotlovka Entry Point: Year</t>
  </si>
  <si>
    <t>(BY&gt;LT) Kotlovka Entry Point: Quarter</t>
  </si>
  <si>
    <t>(BY&gt;LT) Kotlovka Entry Point: Month</t>
  </si>
  <si>
    <t>(BY&gt;LT) Kotlovka Entry Point: Day</t>
  </si>
  <si>
    <t>(LV&gt;LT) Kiemėnai Entry Point: Year</t>
  </si>
  <si>
    <t>(LV&gt;LT) Kiemėnai Entry Point: Quarter</t>
  </si>
  <si>
    <t>(LV&gt;LT) Kiemėnai Entry Point: Month</t>
  </si>
  <si>
    <t>(LV&gt;LT) Kiemėnai Entry Point: Day</t>
  </si>
  <si>
    <t>(LV&gt;LT) Kiemėnai Entry Point, annual capacity equivalent</t>
  </si>
  <si>
    <t>(PL&gt;LT) Santaka Entry Point, annual capacity equivalent</t>
  </si>
  <si>
    <t>(PL&gt;LT) Santaka Entry Point: Year</t>
  </si>
  <si>
    <t>(PL&gt;LT) Santaka Entry Point: Quarter</t>
  </si>
  <si>
    <t>(PL&gt;LT) Santaka Entry Point: Month</t>
  </si>
  <si>
    <t>(PL&gt;LT) Santaka Entry Point: Day</t>
  </si>
  <si>
    <t>(LNGT&gt;LT) Klaipėda Entry Point, annual capacity equivalent</t>
  </si>
  <si>
    <t>(LNGT&gt;LT) Klaipėda Entry Point: Year</t>
  </si>
  <si>
    <t>(LNGT&gt;LT) Klaipėda Entry Point: Quarter</t>
  </si>
  <si>
    <t>(LNGT&gt;LT) Klaipėda Entry Point: Month</t>
  </si>
  <si>
    <t>(LNGT&gt;LT) Klaipėda Entry Point: Day</t>
  </si>
  <si>
    <t>(LT&gt;LV) Kiemėnai Exit Point, annual capacity equivalent</t>
  </si>
  <si>
    <t>(LT&gt;LV) Kiemėnai Exit Point: Year</t>
  </si>
  <si>
    <t>(LT&gt;LV) Kiemėnai Exit Point: Quarter</t>
  </si>
  <si>
    <t>(LT&gt;LV) Kiemėnai Exit Point: Month</t>
  </si>
  <si>
    <t>(LT&gt;LV) Kiemėnai Exit Point: Day</t>
  </si>
  <si>
    <t>(LT&gt;PL) Santaka Exit Point, annual capacity equivalent</t>
  </si>
  <si>
    <t>(LT&gt;PL) Santaka Exit Point: Year</t>
  </si>
  <si>
    <t>(LT&gt;PL) Santaka Exit Point: Quarter</t>
  </si>
  <si>
    <t>(LT&gt;PL) Santaka Exit Point: Month</t>
  </si>
  <si>
    <t>(LT&gt;PL) Santaka Exit Point: Day</t>
  </si>
  <si>
    <t>Domestic Exit - Achema</t>
  </si>
  <si>
    <t>(LT) Domestic Exit Point: Month</t>
  </si>
  <si>
    <t>(LT) Domestic Exit Point: Quarter</t>
  </si>
  <si>
    <t>(LT) Domestic Exit Point(s): Year</t>
  </si>
  <si>
    <t>(LT) Domestic Exit Point(s), annual capacity equivalent</t>
  </si>
  <si>
    <t>(LT) Domestic Exit Point: Day / einamosios Day</t>
  </si>
  <si>
    <t>Number of calendar days per year/quarter/month:</t>
  </si>
  <si>
    <t>LT domestic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</si>
</sst>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64" formatCode="_-* #,##0.00\ _€_-;\-* #,##0.00\ _€_-;_-* &quot;-&quot;??\ _€_-;_-@_-"/>
    <numFmt numFmtId="165" formatCode="#,##0\ _z_ł"/>
    <numFmt numFmtId="166" formatCode="_-* #,##0\ _z_ł_-;\-* #,##0\ _z_ł_-;_-* &quot;-&quot;??\ _z_ł_-;_-@_-"/>
    <numFmt numFmtId="167" formatCode="_-* #,##0.0000\ _z_ł_-;\-* #,##0.0000\ _z_ł_-;_-* &quot;-&quot;??\ _z_ł_-;_-@_-"/>
    <numFmt numFmtId="168" formatCode="0.0%"/>
    <numFmt numFmtId="169" formatCode="#,##0.000"/>
    <numFmt numFmtId="170" formatCode="0.0000%"/>
    <numFmt numFmtId="171" formatCode="0.0000"/>
    <numFmt numFmtId="172" formatCode="#,##0.00\ _z_ł"/>
    <numFmt numFmtId="173" formatCode="#,##0.0"/>
    <numFmt numFmtId="174" formatCode="#,##0.00000000\ _z_ł"/>
    <numFmt numFmtId="175" formatCode="0.0"/>
    <numFmt numFmtId="176" formatCode="#,##0.000000"/>
    <numFmt numFmtId="177" formatCode="#,##0.0000000"/>
    <numFmt numFmtId="178" formatCode="0.000000%"/>
    <numFmt numFmtId="179" formatCode="0.000000"/>
    <numFmt numFmtId="180" formatCode="0.000"/>
    <numFmt numFmtId="181" formatCode="#,##0.00000"/>
    <numFmt numFmtId="182" formatCode="#,##0.0000000000"/>
    <numFmt numFmtId="183" formatCode="#,##0.00000000000"/>
  </numFmts>
  <fonts count="94" x14ac:knownFonts="1">
    <font>
      <sz val="11"/>
      <color theme="1"/>
      <name val="Calibri"/>
      <family val="2"/>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scheme val="minor"/>
    </font>
    <font>
      <sz val="11"/>
      <color theme="1"/>
      <name val="Calibri"/>
      <family val="2"/>
      <charset val="238"/>
      <scheme val="minor"/>
    </font>
    <font>
      <b/>
      <sz val="12"/>
      <color theme="0"/>
      <name val="Calibri"/>
      <family val="2"/>
      <charset val="238"/>
      <scheme val="minor"/>
    </font>
    <font>
      <b/>
      <sz val="10"/>
      <color theme="1"/>
      <name val="Calibri"/>
      <family val="2"/>
      <charset val="238"/>
      <scheme val="minor"/>
    </font>
    <font>
      <sz val="10"/>
      <color theme="1"/>
      <name val="Calibri"/>
      <family val="2"/>
      <charset val="238"/>
      <scheme val="minor"/>
    </font>
    <font>
      <sz val="10"/>
      <name val="Arial"/>
      <family val="2"/>
      <charset val="238"/>
    </font>
    <font>
      <sz val="10"/>
      <color theme="1"/>
      <name val="Arial"/>
      <family val="2"/>
      <charset val="238"/>
    </font>
    <font>
      <sz val="10"/>
      <color theme="1"/>
      <name val="Calibri"/>
      <family val="2"/>
      <charset val="186"/>
    </font>
    <font>
      <sz val="12"/>
      <color theme="1"/>
      <name val="Calibri"/>
      <family val="2"/>
      <charset val="186"/>
    </font>
    <font>
      <sz val="10"/>
      <color theme="1"/>
      <name val="Calibri"/>
      <family val="2"/>
      <charset val="186"/>
      <scheme val="minor"/>
    </font>
    <font>
      <i/>
      <sz val="10"/>
      <color theme="1"/>
      <name val="Calibri"/>
      <family val="2"/>
      <charset val="186"/>
      <scheme val="minor"/>
    </font>
    <font>
      <b/>
      <sz val="18"/>
      <color theme="1"/>
      <name val="Calibri"/>
      <family val="2"/>
      <charset val="186"/>
    </font>
    <font>
      <b/>
      <sz val="10"/>
      <color theme="1"/>
      <name val="Calibri"/>
      <family val="2"/>
      <charset val="186"/>
      <scheme val="minor"/>
    </font>
    <font>
      <i/>
      <vertAlign val="superscript"/>
      <sz val="10"/>
      <color theme="1"/>
      <name val="Calibri"/>
      <family val="2"/>
      <charset val="186"/>
      <scheme val="minor"/>
    </font>
    <font>
      <i/>
      <sz val="10"/>
      <color theme="9" tint="-0.249977111117893"/>
      <name val="Calibri"/>
      <family val="2"/>
      <charset val="186"/>
      <scheme val="minor"/>
    </font>
    <font>
      <i/>
      <sz val="10"/>
      <color rgb="FF0070C0"/>
      <name val="Calibri"/>
      <family val="2"/>
      <charset val="186"/>
      <scheme val="minor"/>
    </font>
    <font>
      <sz val="9"/>
      <color theme="2" tint="-0.499984740745262"/>
      <name val="Calibri"/>
      <family val="2"/>
      <charset val="186"/>
      <scheme val="minor"/>
    </font>
    <font>
      <sz val="9"/>
      <color theme="2" tint="-0.499984740745262"/>
      <name val="Calibri"/>
      <family val="2"/>
      <charset val="238"/>
      <scheme val="minor"/>
    </font>
    <font>
      <b/>
      <sz val="11"/>
      <color rgb="FFFF0000"/>
      <name val="Calibri"/>
      <family val="2"/>
      <charset val="186"/>
      <scheme val="minor"/>
    </font>
    <font>
      <b/>
      <sz val="10"/>
      <color rgb="FFFF0000"/>
      <name val="Calibri"/>
      <family val="2"/>
      <charset val="186"/>
      <scheme val="minor"/>
    </font>
    <font>
      <sz val="11"/>
      <color rgb="FFFF0000"/>
      <name val="Calibri"/>
      <family val="2"/>
      <scheme val="minor"/>
    </font>
    <font>
      <b/>
      <i/>
      <sz val="10"/>
      <color rgb="FF0070C0"/>
      <name val="Calibri"/>
      <family val="2"/>
      <charset val="186"/>
      <scheme val="minor"/>
    </font>
    <font>
      <sz val="10"/>
      <name val="Arial"/>
      <family val="2"/>
      <charset val="186"/>
    </font>
    <font>
      <i/>
      <sz val="11"/>
      <color theme="1"/>
      <name val="Calibri"/>
      <family val="2"/>
      <charset val="186"/>
      <scheme val="minor"/>
    </font>
    <font>
      <i/>
      <sz val="10"/>
      <color theme="0" tint="-0.499984740745262"/>
      <name val="Calibri"/>
      <family val="2"/>
      <charset val="186"/>
      <scheme val="minor"/>
    </font>
    <font>
      <b/>
      <i/>
      <sz val="10"/>
      <color theme="0" tint="-0.499984740745262"/>
      <name val="Calibri"/>
      <family val="2"/>
      <charset val="186"/>
      <scheme val="minor"/>
    </font>
    <font>
      <i/>
      <sz val="10"/>
      <color theme="1"/>
      <name val="Calibri"/>
      <family val="2"/>
      <charset val="238"/>
      <scheme val="minor"/>
    </font>
    <font>
      <b/>
      <sz val="11"/>
      <color theme="1"/>
      <name val="Calibri"/>
      <family val="2"/>
      <charset val="186"/>
      <scheme val="minor"/>
    </font>
    <font>
      <b/>
      <sz val="18"/>
      <color theme="1"/>
      <name val="Calibri"/>
      <family val="2"/>
      <charset val="186"/>
      <scheme val="minor"/>
    </font>
    <font>
      <sz val="10"/>
      <color theme="0" tint="-0.499984740745262"/>
      <name val="Calibri"/>
      <family val="2"/>
      <charset val="186"/>
      <scheme val="minor"/>
    </font>
    <font>
      <b/>
      <sz val="11"/>
      <color theme="0"/>
      <name val="Calibri"/>
      <family val="2"/>
      <charset val="186"/>
      <scheme val="minor"/>
    </font>
    <font>
      <sz val="10"/>
      <color rgb="FFFFFF00"/>
      <name val="Calibri"/>
      <family val="2"/>
      <charset val="186"/>
      <scheme val="minor"/>
    </font>
    <font>
      <b/>
      <sz val="12"/>
      <color theme="0"/>
      <name val="Calibri"/>
      <family val="2"/>
      <charset val="186"/>
      <scheme val="minor"/>
    </font>
    <font>
      <sz val="9"/>
      <color theme="1"/>
      <name val="Calibri"/>
      <family val="2"/>
      <scheme val="minor"/>
    </font>
    <font>
      <b/>
      <sz val="11"/>
      <color theme="0"/>
      <name val="Calibri"/>
      <family val="2"/>
      <charset val="238"/>
      <scheme val="minor"/>
    </font>
    <font>
      <b/>
      <sz val="11"/>
      <color theme="1"/>
      <name val="Calibri"/>
      <family val="2"/>
      <charset val="238"/>
      <scheme val="minor"/>
    </font>
    <font>
      <b/>
      <sz val="10"/>
      <color rgb="FFFF0000"/>
      <name val="Calibri"/>
      <family val="2"/>
      <charset val="238"/>
      <scheme val="minor"/>
    </font>
    <font>
      <sz val="8"/>
      <name val="Calibri"/>
      <family val="2"/>
      <scheme val="minor"/>
    </font>
    <font>
      <sz val="10"/>
      <color rgb="FFFF0000"/>
      <name val="Calibri"/>
      <family val="2"/>
      <charset val="238"/>
      <scheme val="minor"/>
    </font>
    <font>
      <i/>
      <sz val="11"/>
      <color rgb="FF0070C0"/>
      <name val="Calibri"/>
      <family val="2"/>
      <charset val="186"/>
      <scheme val="minor"/>
    </font>
    <font>
      <b/>
      <i/>
      <sz val="10"/>
      <color theme="1"/>
      <name val="Calibri"/>
      <family val="2"/>
      <charset val="186"/>
      <scheme val="minor"/>
    </font>
    <font>
      <b/>
      <sz val="12"/>
      <color theme="1"/>
      <name val="Calibri"/>
      <family val="2"/>
      <charset val="186"/>
      <scheme val="minor"/>
    </font>
    <font>
      <sz val="11"/>
      <color rgb="FF000000"/>
      <name val="Calibri"/>
      <family val="2"/>
      <charset val="186"/>
      <scheme val="minor"/>
    </font>
    <font>
      <b/>
      <sz val="9"/>
      <color theme="1"/>
      <name val="Calibri"/>
      <family val="2"/>
      <charset val="186"/>
      <scheme val="minor"/>
    </font>
    <font>
      <vertAlign val="superscript"/>
      <sz val="9"/>
      <color theme="1"/>
      <name val="Calibri"/>
      <family val="2"/>
      <charset val="186"/>
      <scheme val="minor"/>
    </font>
    <font>
      <vertAlign val="superscript"/>
      <sz val="8"/>
      <color theme="1"/>
      <name val="Calibri"/>
      <family val="2"/>
      <charset val="186"/>
      <scheme val="minor"/>
    </font>
    <font>
      <b/>
      <vertAlign val="superscript"/>
      <sz val="9"/>
      <color theme="1"/>
      <name val="Calibri"/>
      <family val="2"/>
      <charset val="186"/>
      <scheme val="minor"/>
    </font>
    <font>
      <sz val="6"/>
      <color theme="1"/>
      <name val="Calibri"/>
      <family val="2"/>
      <charset val="186"/>
      <scheme val="minor"/>
    </font>
    <font>
      <sz val="11"/>
      <name val="Calibri"/>
      <family val="2"/>
      <scheme val="minor"/>
    </font>
    <font>
      <sz val="9"/>
      <color theme="1"/>
      <name val="Calibri"/>
      <family val="2"/>
      <charset val="186"/>
      <scheme val="minor"/>
    </font>
    <font>
      <sz val="10"/>
      <name val="Calibri"/>
      <family val="2"/>
      <charset val="238"/>
      <scheme val="minor"/>
    </font>
    <font>
      <b/>
      <sz val="10"/>
      <color theme="1" tint="0.14999847407452621"/>
      <name val="Calibri"/>
      <family val="2"/>
      <charset val="186"/>
      <scheme val="minor"/>
    </font>
    <font>
      <b/>
      <sz val="10"/>
      <color theme="1" tint="0.14999847407452621"/>
      <name val="Calibri"/>
      <family val="2"/>
      <scheme val="minor"/>
    </font>
    <font>
      <i/>
      <sz val="10"/>
      <color theme="1" tint="0.14999847407452621"/>
      <name val="Calibri"/>
      <family val="2"/>
      <scheme val="minor"/>
    </font>
    <font>
      <sz val="10"/>
      <color theme="1" tint="0.14999847407452621"/>
      <name val="Calibri"/>
      <family val="2"/>
      <scheme val="minor"/>
    </font>
    <font>
      <sz val="11"/>
      <color theme="1" tint="0.14999847407452621"/>
      <name val="Calibri"/>
      <family val="2"/>
      <scheme val="minor"/>
    </font>
    <font>
      <sz val="10"/>
      <color theme="1" tint="0.14999847407452621"/>
      <name val="Calibri"/>
      <family val="2"/>
      <charset val="186"/>
      <scheme val="minor"/>
    </font>
    <font>
      <i/>
      <sz val="11"/>
      <color theme="1" tint="0.14999847407452621"/>
      <name val="Calibri"/>
      <family val="2"/>
      <charset val="186"/>
      <scheme val="minor"/>
    </font>
    <font>
      <i/>
      <sz val="10"/>
      <color theme="1" tint="0.14999847407452621"/>
      <name val="Calibri"/>
      <family val="2"/>
      <charset val="186"/>
      <scheme val="minor"/>
    </font>
    <font>
      <b/>
      <sz val="10"/>
      <color theme="0"/>
      <name val="Calibri"/>
      <family val="2"/>
      <scheme val="minor"/>
    </font>
    <font>
      <b/>
      <sz val="12"/>
      <color theme="0"/>
      <name val="Calibri"/>
      <family val="2"/>
      <scheme val="minor"/>
    </font>
    <font>
      <sz val="11"/>
      <color theme="0"/>
      <name val="Calibri"/>
      <family val="2"/>
      <scheme val="minor"/>
    </font>
    <font>
      <b/>
      <sz val="10"/>
      <color theme="0"/>
      <name val="Calibri"/>
      <family val="2"/>
      <charset val="186"/>
      <scheme val="minor"/>
    </font>
    <font>
      <b/>
      <sz val="12"/>
      <color theme="1" tint="0.14999847407452621"/>
      <name val="Calibri"/>
      <family val="2"/>
      <scheme val="minor"/>
    </font>
    <font>
      <b/>
      <i/>
      <sz val="10"/>
      <color theme="4" tint="-0.249977111117893"/>
      <name val="Calibri"/>
      <family val="2"/>
      <charset val="186"/>
      <scheme val="minor"/>
    </font>
    <font>
      <b/>
      <i/>
      <sz val="11"/>
      <color theme="4" tint="-0.249977111117893"/>
      <name val="Calibri"/>
      <family val="2"/>
      <charset val="186"/>
      <scheme val="minor"/>
    </font>
    <font>
      <b/>
      <i/>
      <u/>
      <sz val="11"/>
      <color rgb="FFFF0000"/>
      <name val="Calibri"/>
      <family val="2"/>
      <charset val="186"/>
      <scheme val="minor"/>
    </font>
    <font>
      <b/>
      <sz val="11"/>
      <color theme="1" tint="0.14999847407452621"/>
      <name val="Calibri"/>
      <family val="2"/>
      <charset val="186"/>
      <scheme val="minor"/>
    </font>
    <font>
      <i/>
      <sz val="12"/>
      <color theme="1"/>
      <name val="Calibri"/>
      <family val="2"/>
      <charset val="186"/>
    </font>
    <font>
      <sz val="10"/>
      <color rgb="FF0070C0"/>
      <name val="Calibri"/>
      <family val="2"/>
      <charset val="238"/>
      <scheme val="minor"/>
    </font>
    <font>
      <sz val="10"/>
      <color rgb="FF5A6265"/>
      <name val="Calibri"/>
      <family val="2"/>
      <charset val="186"/>
      <scheme val="minor"/>
    </font>
    <font>
      <sz val="9"/>
      <name val="Calibri"/>
      <family val="2"/>
      <charset val="186"/>
      <scheme val="minor"/>
    </font>
    <font>
      <sz val="12"/>
      <color theme="1" tint="0.14999847407452621"/>
      <name val="Calibri"/>
      <family val="2"/>
      <charset val="186"/>
      <scheme val="minor"/>
    </font>
    <font>
      <b/>
      <sz val="12"/>
      <color theme="1" tint="0.14999847407452621"/>
      <name val="Calibri"/>
      <family val="2"/>
      <charset val="186"/>
      <scheme val="minor"/>
    </font>
    <font>
      <sz val="8"/>
      <color theme="1"/>
      <name val="Calibri"/>
      <family val="2"/>
      <charset val="186"/>
      <scheme val="minor"/>
    </font>
    <font>
      <vertAlign val="superscript"/>
      <sz val="6"/>
      <color theme="1"/>
      <name val="Calibri"/>
      <family val="2"/>
      <charset val="186"/>
      <scheme val="minor"/>
    </font>
    <font>
      <sz val="11"/>
      <name val="Calibri"/>
      <family val="2"/>
      <charset val="186"/>
      <scheme val="minor"/>
    </font>
    <font>
      <b/>
      <sz val="11"/>
      <name val="Calibri"/>
      <family val="2"/>
      <charset val="186"/>
      <scheme val="minor"/>
    </font>
  </fonts>
  <fills count="11">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rgb="FF67C08B"/>
        <bgColor indexed="64"/>
      </patternFill>
    </fill>
    <fill>
      <patternFill patternType="solid">
        <fgColor rgb="FFEAEEEF"/>
        <bgColor indexed="64"/>
      </patternFill>
    </fill>
    <fill>
      <patternFill patternType="solid">
        <fgColor rgb="FF63AFC6"/>
        <bgColor indexed="64"/>
      </patternFill>
    </fill>
    <fill>
      <patternFill patternType="solid">
        <fgColor rgb="FF5A6265"/>
        <bgColor indexed="64"/>
      </patternFill>
    </fill>
    <fill>
      <patternFill patternType="solid">
        <fgColor rgb="FFE8C895"/>
        <bgColor indexed="64"/>
      </patternFill>
    </fill>
    <fill>
      <patternFill patternType="solid">
        <fgColor rgb="FFD9D9D9"/>
        <bgColor indexed="64"/>
      </patternFill>
    </fill>
  </fills>
  <borders count="10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style="thin">
        <color indexed="64"/>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top style="thin">
        <color theme="0" tint="-0.34998626667073579"/>
      </top>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thin">
        <color theme="0" tint="-0.34998626667073579"/>
      </right>
      <top style="thick">
        <color theme="0" tint="-0.34998626667073579"/>
      </top>
      <bottom style="thin">
        <color theme="0" tint="-0.34998626667073579"/>
      </bottom>
      <diagonal/>
    </border>
    <border>
      <left style="thick">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ck">
        <color theme="0" tint="-0.34998626667073579"/>
      </right>
      <top style="thin">
        <color theme="0" tint="-0.34998626667073579"/>
      </top>
      <bottom style="thin">
        <color theme="0" tint="-0.34998626667073579"/>
      </bottom>
      <diagonal/>
    </border>
    <border>
      <left style="thick">
        <color theme="0" tint="-0.34998626667073579"/>
      </left>
      <right/>
      <top/>
      <bottom/>
      <diagonal/>
    </border>
    <border>
      <left style="thick">
        <color theme="0" tint="-0.34998626667073579"/>
      </left>
      <right/>
      <top style="thick">
        <color theme="0" tint="-0.34998626667073579"/>
      </top>
      <bottom/>
      <diagonal/>
    </border>
    <border>
      <left/>
      <right/>
      <top style="thick">
        <color theme="0" tint="-0.34998626667073579"/>
      </top>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ck">
        <color theme="0" tint="-0.34998626667073579"/>
      </right>
      <top style="thin">
        <color theme="0" tint="-0.34998626667073579"/>
      </top>
      <bottom/>
      <diagonal/>
    </border>
    <border>
      <left/>
      <right style="thin">
        <color theme="0" tint="-0.34998626667073579"/>
      </right>
      <top style="thin">
        <color theme="0" tint="-0.34998626667073579"/>
      </top>
      <bottom/>
      <diagonal/>
    </border>
    <border>
      <left/>
      <right/>
      <top style="thin">
        <color theme="0" tint="-0.34998626667073579"/>
      </top>
      <bottom style="thin">
        <color theme="0" tint="-0.34998626667073579"/>
      </bottom>
      <diagonal/>
    </border>
    <border>
      <left style="thick">
        <color theme="0" tint="-0.34998626667073579"/>
      </left>
      <right style="thin">
        <color theme="0" tint="-0.34998626667073579"/>
      </right>
      <top style="thin">
        <color theme="0" tint="-0.34998626667073579"/>
      </top>
      <bottom/>
      <diagonal/>
    </border>
    <border>
      <left style="thin">
        <color theme="0" tint="-0.34998626667073579"/>
      </left>
      <right style="thick">
        <color theme="0" tint="-0.34998626667073579"/>
      </right>
      <top/>
      <bottom style="thin">
        <color theme="0" tint="-0.34998626667073579"/>
      </bottom>
      <diagonal/>
    </border>
    <border>
      <left style="thick">
        <color theme="0" tint="-0.34998626667073579"/>
      </left>
      <right style="thin">
        <color theme="0" tint="-0.34998626667073579"/>
      </right>
      <top/>
      <bottom style="thin">
        <color theme="0" tint="-0.34998626667073579"/>
      </bottom>
      <diagonal/>
    </border>
    <border>
      <left style="medium">
        <color rgb="FFFF0000"/>
      </left>
      <right style="medium">
        <color rgb="FFFF0000"/>
      </right>
      <top style="medium">
        <color rgb="FFFF0000"/>
      </top>
      <bottom style="medium">
        <color rgb="FFFF0000"/>
      </bottom>
      <diagonal/>
    </border>
    <border>
      <left style="thin">
        <color rgb="FF5A6265"/>
      </left>
      <right style="thin">
        <color rgb="FF5A6265"/>
      </right>
      <top style="thin">
        <color rgb="FF5A6265"/>
      </top>
      <bottom style="thin">
        <color rgb="FF5A6265"/>
      </bottom>
      <diagonal/>
    </border>
    <border>
      <left style="thin">
        <color rgb="FF5A6265"/>
      </left>
      <right/>
      <top/>
      <bottom style="thin">
        <color rgb="FF5A6265"/>
      </bottom>
      <diagonal/>
    </border>
    <border>
      <left style="medium">
        <color rgb="FF5A6265"/>
      </left>
      <right/>
      <top style="medium">
        <color rgb="FF5A6265"/>
      </top>
      <bottom/>
      <diagonal/>
    </border>
    <border>
      <left/>
      <right/>
      <top style="medium">
        <color rgb="FF5A6265"/>
      </top>
      <bottom/>
      <diagonal/>
    </border>
    <border>
      <left/>
      <right style="medium">
        <color rgb="FF5A6265"/>
      </right>
      <top style="medium">
        <color rgb="FF5A6265"/>
      </top>
      <bottom/>
      <diagonal/>
    </border>
    <border>
      <left style="medium">
        <color rgb="FF5A6265"/>
      </left>
      <right/>
      <top/>
      <bottom/>
      <diagonal/>
    </border>
    <border>
      <left style="thin">
        <color theme="0" tint="-0.34998626667073579"/>
      </left>
      <right style="medium">
        <color rgb="FF5A6265"/>
      </right>
      <top/>
      <bottom style="thin">
        <color theme="0" tint="-0.34998626667073579"/>
      </bottom>
      <diagonal/>
    </border>
    <border>
      <left style="thin">
        <color theme="0" tint="-0.34998626667073579"/>
      </left>
      <right style="medium">
        <color rgb="FF5A6265"/>
      </right>
      <top style="thin">
        <color theme="0" tint="-0.34998626667073579"/>
      </top>
      <bottom style="thin">
        <color theme="0" tint="-0.34998626667073579"/>
      </bottom>
      <diagonal/>
    </border>
    <border>
      <left style="medium">
        <color rgb="FF5A6265"/>
      </left>
      <right/>
      <top/>
      <bottom style="medium">
        <color rgb="FF5A6265"/>
      </bottom>
      <diagonal/>
    </border>
    <border>
      <left style="thin">
        <color theme="0" tint="-0.34998626667073579"/>
      </left>
      <right style="thick">
        <color theme="0" tint="-0.34998626667073579"/>
      </right>
      <top style="thin">
        <color theme="0" tint="-0.34998626667073579"/>
      </top>
      <bottom style="medium">
        <color rgb="FF5A6265"/>
      </bottom>
      <diagonal/>
    </border>
    <border>
      <left style="thick">
        <color theme="0" tint="-0.34998626667073579"/>
      </left>
      <right style="thin">
        <color theme="0" tint="-0.34998626667073579"/>
      </right>
      <top style="thin">
        <color theme="0" tint="-0.34998626667073579"/>
      </top>
      <bottom style="medium">
        <color rgb="FF5A6265"/>
      </bottom>
      <diagonal/>
    </border>
    <border>
      <left style="thin">
        <color theme="0" tint="-0.34998626667073579"/>
      </left>
      <right style="thin">
        <color theme="0" tint="-0.34998626667073579"/>
      </right>
      <top style="thin">
        <color theme="0" tint="-0.34998626667073579"/>
      </top>
      <bottom style="medium">
        <color rgb="FF5A6265"/>
      </bottom>
      <diagonal/>
    </border>
    <border>
      <left style="thin">
        <color theme="0" tint="-0.34998626667073579"/>
      </left>
      <right style="medium">
        <color rgb="FF5A6265"/>
      </right>
      <top style="thin">
        <color theme="0" tint="-0.34998626667073579"/>
      </top>
      <bottom style="medium">
        <color rgb="FF5A6265"/>
      </bottom>
      <diagonal/>
    </border>
    <border>
      <left/>
      <right style="medium">
        <color rgb="FF5A6265"/>
      </right>
      <top/>
      <bottom/>
      <diagonal/>
    </border>
    <border>
      <left style="thin">
        <color theme="0" tint="-0.34998626667073579"/>
      </left>
      <right style="medium">
        <color rgb="FF5A6265"/>
      </right>
      <top style="thin">
        <color theme="0" tint="-0.34998626667073579"/>
      </top>
      <bottom/>
      <diagonal/>
    </border>
    <border>
      <left/>
      <right style="thin">
        <color theme="0" tint="-0.34998626667073579"/>
      </right>
      <top style="thin">
        <color theme="0" tint="-0.34998626667073579"/>
      </top>
      <bottom style="medium">
        <color rgb="FF5A6265"/>
      </bottom>
      <diagonal/>
    </border>
    <border>
      <left style="medium">
        <color indexed="64"/>
      </left>
      <right/>
      <top style="medium">
        <color indexed="64"/>
      </top>
      <bottom/>
      <diagonal/>
    </border>
    <border>
      <left/>
      <right/>
      <top style="medium">
        <color indexed="64"/>
      </top>
      <bottom/>
      <diagonal/>
    </border>
    <border>
      <left style="thin">
        <color rgb="FF5A6265"/>
      </left>
      <right style="thin">
        <color rgb="FF5A6265"/>
      </right>
      <top style="medium">
        <color indexed="64"/>
      </top>
      <bottom style="thin">
        <color rgb="FF5A6265"/>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n">
        <color rgb="FF5A6265"/>
      </left>
      <right style="thin">
        <color rgb="FF5A6265"/>
      </right>
      <top style="thin">
        <color rgb="FF5A6265"/>
      </top>
      <bottom style="medium">
        <color indexed="64"/>
      </bottom>
      <diagonal/>
    </border>
    <border>
      <left style="thin">
        <color rgb="FF5A6265"/>
      </left>
      <right/>
      <top style="medium">
        <color indexed="64"/>
      </top>
      <bottom style="thin">
        <color rgb="FF5A6265"/>
      </bottom>
      <diagonal/>
    </border>
    <border>
      <left style="thin">
        <color rgb="FF5A6265"/>
      </left>
      <right/>
      <top style="thin">
        <color rgb="FF5A6265"/>
      </top>
      <bottom style="thin">
        <color rgb="FF5A6265"/>
      </bottom>
      <diagonal/>
    </border>
    <border>
      <left style="thin">
        <color rgb="FF5A6265"/>
      </left>
      <right/>
      <top style="thin">
        <color rgb="FF5A6265"/>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theme="0" tint="-0.34998626667073579"/>
      </left>
      <right style="thin">
        <color indexed="64"/>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indexed="64"/>
      </bottom>
      <diagonal/>
    </border>
    <border>
      <left style="thin">
        <color theme="0" tint="-0.34998626667073579"/>
      </left>
      <right style="thin">
        <color indexed="64"/>
      </right>
      <top style="thin">
        <color theme="0" tint="-0.34998626667073579"/>
      </top>
      <bottom style="thin">
        <color indexed="64"/>
      </bottom>
      <diagonal/>
    </border>
    <border>
      <left style="thin">
        <color theme="0" tint="-0.34998626667073579"/>
      </left>
      <right style="thin">
        <color theme="0" tint="-0.34998626667073579"/>
      </right>
      <top style="medium">
        <color indexed="64"/>
      </top>
      <bottom style="thin">
        <color theme="0" tint="-0.34998626667073579"/>
      </bottom>
      <diagonal/>
    </border>
    <border>
      <left style="thin">
        <color theme="0" tint="-0.34998626667073579"/>
      </left>
      <right style="medium">
        <color indexed="64"/>
      </right>
      <top style="medium">
        <color indexed="64"/>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indexed="64"/>
      </bottom>
      <diagonal/>
    </border>
    <border>
      <left style="thin">
        <color theme="0" tint="-0.34998626667073579"/>
      </left>
      <right style="medium">
        <color indexed="64"/>
      </right>
      <top style="thin">
        <color theme="0" tint="-0.34998626667073579"/>
      </top>
      <bottom style="medium">
        <color indexed="64"/>
      </bottom>
      <diagonal/>
    </border>
    <border>
      <left style="thin">
        <color theme="0" tint="-0.34998626667073579"/>
      </left>
      <right style="medium">
        <color indexed="64"/>
      </right>
      <top style="thin">
        <color theme="0" tint="-0.34998626667073579"/>
      </top>
      <bottom/>
      <diagonal/>
    </border>
    <border>
      <left style="thin">
        <color indexed="64"/>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bottom style="thin">
        <color indexed="64"/>
      </bottom>
      <diagonal/>
    </border>
    <border>
      <left style="thin">
        <color indexed="64"/>
      </left>
      <right style="thin">
        <color theme="1"/>
      </right>
      <top style="thin">
        <color indexed="64"/>
      </top>
      <bottom style="thin">
        <color indexed="64"/>
      </bottom>
      <diagonal/>
    </border>
    <border>
      <left style="thin">
        <color theme="1"/>
      </left>
      <right/>
      <top style="thin">
        <color theme="1"/>
      </top>
      <bottom/>
      <diagonal/>
    </border>
    <border>
      <left style="thin">
        <color indexed="64"/>
      </left>
      <right style="thin">
        <color indexed="64"/>
      </right>
      <top style="thin">
        <color indexed="64"/>
      </top>
      <bottom style="thin">
        <color theme="1"/>
      </bottom>
      <diagonal/>
    </border>
    <border>
      <left style="thin">
        <color theme="1"/>
      </left>
      <right style="thin">
        <color indexed="64"/>
      </right>
      <top style="thin">
        <color theme="1"/>
      </top>
      <bottom/>
      <diagonal/>
    </border>
    <border>
      <left style="thin">
        <color theme="1"/>
      </left>
      <right style="thin">
        <color indexed="64"/>
      </right>
      <top/>
      <bottom/>
      <diagonal/>
    </border>
    <border>
      <left style="thin">
        <color theme="1"/>
      </left>
      <right style="thin">
        <color indexed="64"/>
      </right>
      <top/>
      <bottom style="thin">
        <color indexed="64"/>
      </bottom>
      <diagonal/>
    </border>
    <border>
      <left/>
      <right style="thin">
        <color theme="0" tint="-0.34998626667073579"/>
      </right>
      <top/>
      <bottom/>
      <diagonal/>
    </border>
    <border>
      <left style="thick">
        <color theme="0" tint="-0.34998626667073579"/>
      </left>
      <right/>
      <top/>
      <bottom style="thin">
        <color theme="0" tint="-0.34998626667073579"/>
      </bottom>
      <diagonal/>
    </border>
    <border>
      <left/>
      <right style="thick">
        <color theme="0" tint="-0.34998626667073579"/>
      </right>
      <top/>
      <bottom style="thin">
        <color theme="0" tint="-0.34998626667073579"/>
      </bottom>
      <diagonal/>
    </border>
    <border>
      <left style="thin">
        <color theme="0" tint="-0.34998626667073579"/>
      </left>
      <right style="thick">
        <color theme="0" tint="-0.34998626667073579"/>
      </right>
      <top/>
      <bottom/>
      <diagonal/>
    </border>
    <border>
      <left style="medium">
        <color rgb="FF9B8578"/>
      </left>
      <right/>
      <top/>
      <bottom/>
      <diagonal/>
    </border>
    <border>
      <left style="medium">
        <color rgb="FF9B8578"/>
      </left>
      <right/>
      <top/>
      <bottom style="medium">
        <color rgb="FF9B8578"/>
      </bottom>
      <diagonal/>
    </border>
    <border>
      <left/>
      <right/>
      <top/>
      <bottom style="medium">
        <color rgb="FF9B8578"/>
      </bottom>
      <diagonal/>
    </border>
    <border>
      <left style="medium">
        <color rgb="FF9B8578"/>
      </left>
      <right/>
      <top style="medium">
        <color rgb="FF9B8578"/>
      </top>
      <bottom/>
      <diagonal/>
    </border>
  </borders>
  <cellStyleXfs count="38">
    <xf numFmtId="0" fontId="0" fillId="0" borderId="0"/>
    <xf numFmtId="164" fontId="16" fillId="0" borderId="0" applyFont="0" applyFill="0" applyBorder="0" applyAlignment="0" applyProtection="0"/>
    <xf numFmtId="9" fontId="16" fillId="0" borderId="0" applyFont="0" applyFill="0" applyBorder="0" applyAlignment="0" applyProtection="0"/>
    <xf numFmtId="0" fontId="21" fillId="0" borderId="0"/>
    <xf numFmtId="0" fontId="22" fillId="0" borderId="0"/>
    <xf numFmtId="0" fontId="15" fillId="0" borderId="0"/>
    <xf numFmtId="0" fontId="14" fillId="0" borderId="0"/>
    <xf numFmtId="9" fontId="14" fillId="0" borderId="0" applyFont="0" applyFill="0" applyBorder="0" applyAlignment="0" applyProtection="0"/>
    <xf numFmtId="0" fontId="38" fillId="0" borderId="0"/>
    <xf numFmtId="0" fontId="38" fillId="0" borderId="0"/>
    <xf numFmtId="0" fontId="13" fillId="0" borderId="0"/>
    <xf numFmtId="0" fontId="12" fillId="0" borderId="0"/>
    <xf numFmtId="0" fontId="11" fillId="0" borderId="0"/>
    <xf numFmtId="0" fontId="10" fillId="0" borderId="0"/>
    <xf numFmtId="164" fontId="16" fillId="0" borderId="0" applyFont="0" applyFill="0" applyBorder="0" applyAlignment="0" applyProtection="0"/>
    <xf numFmtId="9" fontId="16" fillId="0" borderId="0" applyFont="0" applyFill="0" applyBorder="0" applyAlignment="0" applyProtection="0"/>
    <xf numFmtId="0" fontId="16" fillId="0" borderId="0"/>
    <xf numFmtId="0" fontId="9" fillId="0" borderId="0"/>
    <xf numFmtId="0" fontId="9" fillId="0" borderId="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cellStyleXfs>
  <cellXfs count="754">
    <xf numFmtId="0" fontId="0" fillId="0" borderId="0" xfId="0"/>
    <xf numFmtId="0" fontId="17" fillId="0" borderId="0" xfId="0" applyFont="1" applyAlignment="1">
      <alignment horizontal="center"/>
    </xf>
    <xf numFmtId="0" fontId="17" fillId="0" borderId="0" xfId="0" applyFont="1"/>
    <xf numFmtId="0" fontId="23" fillId="4" borderId="0" xfId="4" applyFont="1" applyFill="1"/>
    <xf numFmtId="3" fontId="0" fillId="0" borderId="0" xfId="0" applyNumberFormat="1"/>
    <xf numFmtId="0" fontId="30" fillId="0" borderId="0" xfId="0" applyFont="1"/>
    <xf numFmtId="0" fontId="25" fillId="2" borderId="0" xfId="0" applyFont="1" applyFill="1" applyAlignment="1">
      <alignment horizontal="center" vertical="center"/>
    </xf>
    <xf numFmtId="0" fontId="25" fillId="3" borderId="0" xfId="0" applyFont="1" applyFill="1" applyAlignment="1">
      <alignment horizontal="center" vertical="center"/>
    </xf>
    <xf numFmtId="0" fontId="19" fillId="0" borderId="0" xfId="0" applyFont="1" applyAlignment="1">
      <alignment horizontal="center" vertical="center"/>
    </xf>
    <xf numFmtId="0" fontId="20" fillId="0" borderId="0" xfId="0" applyFont="1" applyAlignment="1">
      <alignment horizontal="center" vertical="center"/>
    </xf>
    <xf numFmtId="0" fontId="20" fillId="4" borderId="0" xfId="0" applyFont="1" applyFill="1" applyAlignment="1">
      <alignment horizontal="center" vertical="center"/>
    </xf>
    <xf numFmtId="0" fontId="25" fillId="4" borderId="0" xfId="0" applyFont="1" applyFill="1" applyAlignment="1">
      <alignment horizontal="center" vertical="center"/>
    </xf>
    <xf numFmtId="0" fontId="19" fillId="4" borderId="0" xfId="0" applyFont="1" applyFill="1" applyAlignment="1">
      <alignment horizontal="left" vertical="center" wrapText="1"/>
    </xf>
    <xf numFmtId="0" fontId="24" fillId="4" borderId="0" xfId="3" applyFont="1" applyFill="1" applyAlignment="1">
      <alignment vertical="center"/>
    </xf>
    <xf numFmtId="0" fontId="23" fillId="4" borderId="0" xfId="3" applyFont="1" applyFill="1"/>
    <xf numFmtId="0" fontId="26" fillId="4" borderId="0" xfId="0" applyFont="1" applyFill="1" applyAlignment="1">
      <alignment horizontal="center" vertical="center"/>
    </xf>
    <xf numFmtId="3" fontId="23" fillId="0" borderId="0" xfId="4" applyNumberFormat="1" applyFont="1"/>
    <xf numFmtId="0" fontId="0" fillId="0" borderId="0" xfId="0" applyAlignment="1">
      <alignment vertical="center"/>
    </xf>
    <xf numFmtId="166" fontId="20" fillId="0" borderId="0" xfId="1" applyNumberFormat="1" applyFont="1" applyFill="1" applyBorder="1" applyAlignment="1" applyProtection="1">
      <alignment vertical="center"/>
    </xf>
    <xf numFmtId="0" fontId="25" fillId="4" borderId="0" xfId="0" applyFont="1" applyFill="1" applyAlignment="1">
      <alignment horizontal="left" vertical="center"/>
    </xf>
    <xf numFmtId="3" fontId="32" fillId="0" borderId="0" xfId="0" applyNumberFormat="1" applyFont="1"/>
    <xf numFmtId="0" fontId="33" fillId="0" borderId="0" xfId="0" applyFont="1" applyAlignment="1">
      <alignment horizontal="center"/>
    </xf>
    <xf numFmtId="165" fontId="20" fillId="0" borderId="0" xfId="0" applyNumberFormat="1" applyFont="1" applyAlignment="1">
      <alignment horizontal="right" vertical="center"/>
    </xf>
    <xf numFmtId="165" fontId="20" fillId="4" borderId="0" xfId="0" applyNumberFormat="1" applyFont="1" applyFill="1" applyAlignment="1">
      <alignment horizontal="right" vertical="center"/>
    </xf>
    <xf numFmtId="165" fontId="25" fillId="0" borderId="0" xfId="0" applyNumberFormat="1" applyFont="1" applyAlignment="1">
      <alignment horizontal="right" vertical="center"/>
    </xf>
    <xf numFmtId="0" fontId="26" fillId="4" borderId="0" xfId="0" applyFont="1" applyFill="1" applyAlignment="1">
      <alignment horizontal="right" vertical="center"/>
    </xf>
    <xf numFmtId="165" fontId="26" fillId="4" borderId="0" xfId="0" applyNumberFormat="1" applyFont="1" applyFill="1" applyAlignment="1">
      <alignment horizontal="right" vertical="center"/>
    </xf>
    <xf numFmtId="0" fontId="19" fillId="0" borderId="0" xfId="0" applyFont="1" applyAlignment="1">
      <alignment vertical="center"/>
    </xf>
    <xf numFmtId="165" fontId="19" fillId="0" borderId="0" xfId="0" applyNumberFormat="1" applyFont="1" applyAlignment="1">
      <alignment horizontal="right" vertical="center"/>
    </xf>
    <xf numFmtId="9" fontId="20" fillId="0" borderId="0" xfId="2" applyFont="1" applyFill="1" applyBorder="1" applyAlignment="1" applyProtection="1">
      <alignment vertical="center"/>
    </xf>
    <xf numFmtId="9" fontId="20" fillId="4" borderId="0" xfId="2" applyFont="1" applyFill="1" applyBorder="1" applyAlignment="1" applyProtection="1">
      <alignment vertical="center"/>
    </xf>
    <xf numFmtId="9" fontId="19" fillId="0" borderId="0" xfId="2" applyFont="1" applyFill="1" applyBorder="1" applyAlignment="1" applyProtection="1">
      <alignment vertical="center"/>
    </xf>
    <xf numFmtId="0" fontId="20" fillId="0" borderId="0" xfId="0" applyFont="1" applyAlignment="1">
      <alignment vertical="center"/>
    </xf>
    <xf numFmtId="165" fontId="25" fillId="4" borderId="0" xfId="0" applyNumberFormat="1" applyFont="1" applyFill="1" applyAlignment="1">
      <alignment horizontal="right" vertical="center"/>
    </xf>
    <xf numFmtId="167" fontId="19" fillId="0" borderId="0" xfId="1" applyNumberFormat="1" applyFont="1" applyFill="1" applyBorder="1" applyAlignment="1" applyProtection="1">
      <alignment vertical="center"/>
    </xf>
    <xf numFmtId="167" fontId="19" fillId="4" borderId="0" xfId="1" applyNumberFormat="1" applyFont="1" applyFill="1" applyBorder="1" applyAlignment="1" applyProtection="1">
      <alignment vertical="center"/>
    </xf>
    <xf numFmtId="0" fontId="0" fillId="4" borderId="0" xfId="0" applyFill="1" applyAlignment="1">
      <alignment vertical="center"/>
    </xf>
    <xf numFmtId="165" fontId="26" fillId="0" borderId="0" xfId="0" applyNumberFormat="1" applyFont="1" applyAlignment="1">
      <alignment horizontal="right"/>
    </xf>
    <xf numFmtId="167" fontId="19" fillId="0" borderId="0" xfId="1" applyNumberFormat="1" applyFont="1" applyFill="1" applyBorder="1" applyProtection="1"/>
    <xf numFmtId="4" fontId="32" fillId="0" borderId="0" xfId="0" applyNumberFormat="1" applyFont="1"/>
    <xf numFmtId="0" fontId="24" fillId="4" borderId="0" xfId="3" applyFont="1" applyFill="1" applyAlignment="1">
      <alignment horizontal="left"/>
    </xf>
    <xf numFmtId="171" fontId="0" fillId="0" borderId="0" xfId="0" applyNumberFormat="1"/>
    <xf numFmtId="0" fontId="27" fillId="4" borderId="0" xfId="3" applyFont="1" applyFill="1" applyAlignment="1">
      <alignment horizontal="left" vertical="center"/>
    </xf>
    <xf numFmtId="0" fontId="18" fillId="4" borderId="0" xfId="0" applyFont="1" applyFill="1" applyAlignment="1">
      <alignment horizontal="center" vertical="center"/>
    </xf>
    <xf numFmtId="0" fontId="28" fillId="4" borderId="0" xfId="0" applyFont="1" applyFill="1" applyAlignment="1">
      <alignment horizontal="left"/>
    </xf>
    <xf numFmtId="0" fontId="0" fillId="4" borderId="0" xfId="0" applyFill="1" applyAlignment="1">
      <alignment horizontal="left" vertical="center"/>
    </xf>
    <xf numFmtId="2" fontId="25" fillId="4" borderId="0" xfId="0" applyNumberFormat="1" applyFont="1" applyFill="1" applyAlignment="1">
      <alignment horizontal="center" vertical="center"/>
    </xf>
    <xf numFmtId="0" fontId="25" fillId="4" borderId="0" xfId="0" applyFont="1" applyFill="1" applyAlignment="1">
      <alignment vertical="center"/>
    </xf>
    <xf numFmtId="165" fontId="25" fillId="4" borderId="0" xfId="0" applyNumberFormat="1" applyFont="1" applyFill="1" applyAlignment="1">
      <alignment vertical="center"/>
    </xf>
    <xf numFmtId="165" fontId="25" fillId="4" borderId="0" xfId="0" applyNumberFormat="1" applyFont="1" applyFill="1" applyAlignment="1">
      <alignment horizontal="center" vertical="center"/>
    </xf>
    <xf numFmtId="0" fontId="25" fillId="4" borderId="0" xfId="0" applyFont="1" applyFill="1" applyAlignment="1">
      <alignment horizontal="center" vertical="center" wrapText="1"/>
    </xf>
    <xf numFmtId="0" fontId="28" fillId="4" borderId="0" xfId="0" applyFont="1" applyFill="1" applyAlignment="1">
      <alignment horizontal="center" vertical="center" wrapText="1"/>
    </xf>
    <xf numFmtId="0" fontId="28" fillId="4" borderId="0" xfId="0" applyFont="1" applyFill="1" applyAlignment="1">
      <alignment vertical="center" wrapText="1"/>
    </xf>
    <xf numFmtId="0" fontId="0" fillId="4" borderId="0" xfId="0" applyFill="1"/>
    <xf numFmtId="169" fontId="25" fillId="4" borderId="0" xfId="0" applyNumberFormat="1" applyFont="1" applyFill="1" applyAlignment="1">
      <alignment horizontal="center" vertical="center" wrapText="1"/>
    </xf>
    <xf numFmtId="165" fontId="25" fillId="4" borderId="0" xfId="0" applyNumberFormat="1" applyFont="1" applyFill="1" applyAlignment="1">
      <alignment vertical="center" wrapText="1"/>
    </xf>
    <xf numFmtId="165" fontId="25" fillId="4" borderId="0" xfId="0" applyNumberFormat="1" applyFont="1" applyFill="1" applyAlignment="1">
      <alignment horizontal="center" vertical="center" wrapText="1"/>
    </xf>
    <xf numFmtId="169" fontId="0" fillId="0" borderId="0" xfId="0" applyNumberFormat="1"/>
    <xf numFmtId="171" fontId="25" fillId="4" borderId="0" xfId="0" applyNumberFormat="1" applyFont="1" applyFill="1" applyAlignment="1">
      <alignment horizontal="center" vertical="center" wrapText="1"/>
    </xf>
    <xf numFmtId="0" fontId="36" fillId="4" borderId="0" xfId="0" applyFont="1" applyFill="1"/>
    <xf numFmtId="0" fontId="31" fillId="4" borderId="0" xfId="0" applyFont="1" applyFill="1" applyAlignment="1">
      <alignment horizontal="right" vertical="center" wrapText="1"/>
    </xf>
    <xf numFmtId="3" fontId="37" fillId="4" borderId="0" xfId="2" applyNumberFormat="1" applyFont="1" applyFill="1" applyBorder="1" applyAlignment="1" applyProtection="1">
      <alignment horizontal="right" vertical="center" wrapText="1"/>
    </xf>
    <xf numFmtId="3" fontId="37" fillId="4" borderId="0" xfId="0" applyNumberFormat="1" applyFont="1" applyFill="1" applyAlignment="1">
      <alignment horizontal="right" vertical="center" wrapText="1"/>
    </xf>
    <xf numFmtId="3" fontId="37" fillId="4" borderId="0" xfId="2" applyNumberFormat="1" applyFont="1" applyFill="1" applyBorder="1" applyAlignment="1">
      <alignment horizontal="right" vertical="center" wrapText="1"/>
    </xf>
    <xf numFmtId="0" fontId="36" fillId="0" borderId="0" xfId="0" applyFont="1"/>
    <xf numFmtId="169" fontId="36" fillId="0" borderId="0" xfId="0" applyNumberFormat="1" applyFont="1"/>
    <xf numFmtId="0" fontId="36" fillId="0" borderId="0" xfId="0" applyFont="1" applyAlignment="1">
      <alignment horizontal="right"/>
    </xf>
    <xf numFmtId="0" fontId="19" fillId="4" borderId="0" xfId="0" applyFont="1" applyFill="1" applyAlignment="1">
      <alignment horizontal="center" vertical="center"/>
    </xf>
    <xf numFmtId="1" fontId="0" fillId="0" borderId="0" xfId="0" applyNumberFormat="1"/>
    <xf numFmtId="171" fontId="31" fillId="4" borderId="0" xfId="0" applyNumberFormat="1" applyFont="1" applyFill="1" applyAlignment="1">
      <alignment horizontal="right" vertical="center" wrapText="1"/>
    </xf>
    <xf numFmtId="3" fontId="28" fillId="4" borderId="0" xfId="0" applyNumberFormat="1" applyFont="1" applyFill="1" applyAlignment="1">
      <alignment vertical="center"/>
    </xf>
    <xf numFmtId="2" fontId="25" fillId="4" borderId="0" xfId="0" applyNumberFormat="1" applyFont="1" applyFill="1" applyAlignment="1">
      <alignment horizontal="center" vertical="center" wrapText="1"/>
    </xf>
    <xf numFmtId="0" fontId="24" fillId="4" borderId="0" xfId="3" applyFont="1" applyFill="1" applyAlignment="1">
      <alignment horizontal="left" vertical="center"/>
    </xf>
    <xf numFmtId="3" fontId="31" fillId="4" borderId="0" xfId="0" applyNumberFormat="1" applyFont="1" applyFill="1" applyAlignment="1">
      <alignment horizontal="right" vertical="center" wrapText="1"/>
    </xf>
    <xf numFmtId="3" fontId="31" fillId="4" borderId="0" xfId="0" applyNumberFormat="1" applyFont="1" applyFill="1" applyAlignment="1">
      <alignment vertical="center" wrapText="1"/>
    </xf>
    <xf numFmtId="0" fontId="26" fillId="4" borderId="0" xfId="0" applyFont="1" applyFill="1" applyAlignment="1">
      <alignment horizontal="right"/>
    </xf>
    <xf numFmtId="165" fontId="26" fillId="4" borderId="0" xfId="0" applyNumberFormat="1" applyFont="1" applyFill="1" applyAlignment="1">
      <alignment horizontal="right"/>
    </xf>
    <xf numFmtId="167" fontId="41" fillId="0" borderId="0" xfId="1" applyNumberFormat="1" applyFont="1" applyFill="1" applyBorder="1" applyAlignment="1" applyProtection="1">
      <alignment vertical="center"/>
    </xf>
    <xf numFmtId="0" fontId="30" fillId="4" borderId="0" xfId="0" applyFont="1" applyFill="1"/>
    <xf numFmtId="3" fontId="0" fillId="4" borderId="0" xfId="0" applyNumberFormat="1" applyFill="1"/>
    <xf numFmtId="0" fontId="44" fillId="0" borderId="0" xfId="0" applyFont="1" applyAlignment="1">
      <alignment horizontal="center" vertical="center"/>
    </xf>
    <xf numFmtId="0" fontId="27" fillId="4" borderId="0" xfId="3" applyFont="1" applyFill="1" applyAlignment="1">
      <alignment horizontal="left" vertical="center" wrapText="1"/>
    </xf>
    <xf numFmtId="0" fontId="24" fillId="4" borderId="0" xfId="3" applyFont="1" applyFill="1" applyAlignment="1">
      <alignment horizontal="left" vertical="center" wrapText="1"/>
    </xf>
    <xf numFmtId="3" fontId="36" fillId="0" borderId="0" xfId="0" applyNumberFormat="1" applyFont="1"/>
    <xf numFmtId="176" fontId="0" fillId="0" borderId="0" xfId="0" applyNumberFormat="1"/>
    <xf numFmtId="2" fontId="0" fillId="0" borderId="0" xfId="0" applyNumberFormat="1"/>
    <xf numFmtId="0" fontId="34" fillId="4" borderId="0" xfId="0" applyFont="1" applyFill="1"/>
    <xf numFmtId="10" fontId="49" fillId="0" borderId="0" xfId="0" applyNumberFormat="1" applyFont="1"/>
    <xf numFmtId="0" fontId="51" fillId="3" borderId="0" xfId="0" applyFont="1" applyFill="1" applyAlignment="1">
      <alignment horizontal="left" vertical="center"/>
    </xf>
    <xf numFmtId="0" fontId="19" fillId="3" borderId="0" xfId="0" applyFont="1" applyFill="1" applyAlignment="1">
      <alignment horizontal="center" vertical="center"/>
    </xf>
    <xf numFmtId="165" fontId="19" fillId="3" borderId="0" xfId="0" applyNumberFormat="1" applyFont="1" applyFill="1" applyAlignment="1">
      <alignment horizontal="right" vertical="center"/>
    </xf>
    <xf numFmtId="1" fontId="18" fillId="4" borderId="0" xfId="0" applyNumberFormat="1" applyFont="1" applyFill="1" applyAlignment="1">
      <alignment vertical="center"/>
    </xf>
    <xf numFmtId="168" fontId="49" fillId="0" borderId="10" xfId="2" applyNumberFormat="1" applyFont="1" applyBorder="1"/>
    <xf numFmtId="0" fontId="43" fillId="0" borderId="0" xfId="0" applyFont="1"/>
    <xf numFmtId="178" fontId="52" fillId="3" borderId="0" xfId="2" applyNumberFormat="1" applyFont="1" applyFill="1" applyAlignment="1">
      <alignment horizontal="left" vertical="center"/>
    </xf>
    <xf numFmtId="0" fontId="48" fillId="4" borderId="0" xfId="0" applyFont="1" applyFill="1" applyAlignment="1">
      <alignment horizontal="left" vertical="center"/>
    </xf>
    <xf numFmtId="0" fontId="48" fillId="4" borderId="0" xfId="0" applyFont="1" applyFill="1" applyAlignment="1">
      <alignment horizontal="center" vertical="center"/>
    </xf>
    <xf numFmtId="167" fontId="48" fillId="4" borderId="0" xfId="1" applyNumberFormat="1" applyFont="1" applyFill="1" applyBorder="1" applyAlignment="1" applyProtection="1">
      <alignment vertical="center"/>
    </xf>
    <xf numFmtId="9" fontId="20" fillId="0" borderId="0" xfId="2" applyFont="1" applyAlignment="1">
      <alignment vertical="center"/>
    </xf>
    <xf numFmtId="3" fontId="55" fillId="0" borderId="0" xfId="0" applyNumberFormat="1" applyFont="1"/>
    <xf numFmtId="0" fontId="55" fillId="0" borderId="0" xfId="0" applyFont="1"/>
    <xf numFmtId="4" fontId="0" fillId="0" borderId="0" xfId="0" applyNumberFormat="1"/>
    <xf numFmtId="180" fontId="55" fillId="0" borderId="0" xfId="2" applyNumberFormat="1" applyFont="1"/>
    <xf numFmtId="173" fontId="0" fillId="0" borderId="0" xfId="0" applyNumberFormat="1"/>
    <xf numFmtId="0" fontId="19" fillId="2" borderId="0" xfId="0" applyFont="1" applyFill="1" applyAlignment="1">
      <alignment horizontal="left" vertical="center" wrapText="1"/>
    </xf>
    <xf numFmtId="0" fontId="26" fillId="3" borderId="0" xfId="0" applyFont="1" applyFill="1" applyAlignment="1">
      <alignment horizontal="right" vertical="center" wrapText="1"/>
    </xf>
    <xf numFmtId="0" fontId="20" fillId="4" borderId="0" xfId="0" applyFont="1" applyFill="1" applyAlignment="1">
      <alignment vertical="center"/>
    </xf>
    <xf numFmtId="0" fontId="19" fillId="4" borderId="0" xfId="0" applyFont="1" applyFill="1" applyAlignment="1">
      <alignment vertical="center"/>
    </xf>
    <xf numFmtId="0" fontId="28" fillId="4" borderId="0" xfId="0" applyFont="1" applyFill="1"/>
    <xf numFmtId="0" fontId="25" fillId="3" borderId="0" xfId="0" applyFont="1" applyFill="1" applyAlignment="1">
      <alignment vertical="center"/>
    </xf>
    <xf numFmtId="0" fontId="25" fillId="3" borderId="0" xfId="0" applyFont="1" applyFill="1" applyAlignment="1">
      <alignment horizontal="right" vertical="center"/>
    </xf>
    <xf numFmtId="3" fontId="45" fillId="0" borderId="0" xfId="0" applyNumberFormat="1" applyFont="1" applyAlignment="1">
      <alignment horizontal="center" vertical="center" wrapText="1"/>
    </xf>
    <xf numFmtId="181" fontId="0" fillId="0" borderId="0" xfId="0" applyNumberFormat="1"/>
    <xf numFmtId="0" fontId="43" fillId="0" borderId="1" xfId="0" applyFont="1" applyBorder="1" applyAlignment="1">
      <alignment horizontal="center" vertical="center" wrapText="1"/>
    </xf>
    <xf numFmtId="0" fontId="0" fillId="0" borderId="1" xfId="0" applyBorder="1" applyAlignment="1">
      <alignment horizontal="center" vertical="center" wrapText="1"/>
    </xf>
    <xf numFmtId="0" fontId="43" fillId="0" borderId="1" xfId="0" applyFont="1" applyBorder="1" applyAlignment="1">
      <alignment horizontal="left" vertical="center" wrapText="1"/>
    </xf>
    <xf numFmtId="3" fontId="43" fillId="0" borderId="1" xfId="0" applyNumberFormat="1" applyFont="1" applyBorder="1" applyAlignment="1">
      <alignment horizontal="center" vertical="center" wrapText="1"/>
    </xf>
    <xf numFmtId="3" fontId="43" fillId="0" borderId="1" xfId="0" applyNumberFormat="1" applyFont="1" applyBorder="1" applyAlignment="1">
      <alignment horizontal="center" vertical="center"/>
    </xf>
    <xf numFmtId="0" fontId="0" fillId="0" borderId="1" xfId="0" applyBorder="1" applyAlignment="1">
      <alignment horizontal="left" vertical="center" wrapText="1"/>
    </xf>
    <xf numFmtId="3" fontId="0" fillId="0" borderId="1" xfId="0" applyNumberFormat="1" applyBorder="1" applyAlignment="1">
      <alignment horizontal="center" vertical="center" wrapText="1"/>
    </xf>
    <xf numFmtId="3" fontId="0" fillId="0" borderId="1" xfId="0" applyNumberFormat="1" applyBorder="1" applyAlignment="1">
      <alignment horizontal="center" vertical="center"/>
    </xf>
    <xf numFmtId="0" fontId="43" fillId="2" borderId="1" xfId="0" applyFont="1" applyFill="1" applyBorder="1" applyAlignment="1">
      <alignment horizontal="left" vertical="center" wrapText="1"/>
    </xf>
    <xf numFmtId="0" fontId="0" fillId="0" borderId="1" xfId="0" applyBorder="1" applyAlignment="1">
      <alignment horizontal="center" vertical="center"/>
    </xf>
    <xf numFmtId="3" fontId="0" fillId="0" borderId="1" xfId="2" applyNumberFormat="1" applyFont="1" applyBorder="1" applyAlignment="1">
      <alignment horizontal="center" vertical="center" wrapText="1"/>
    </xf>
    <xf numFmtId="3" fontId="43" fillId="0" borderId="1" xfId="2" applyNumberFormat="1" applyFont="1" applyBorder="1" applyAlignment="1">
      <alignment horizontal="center" vertical="center" wrapText="1"/>
    </xf>
    <xf numFmtId="3" fontId="8" fillId="0" borderId="1" xfId="0" applyNumberFormat="1" applyFont="1" applyBorder="1" applyAlignment="1">
      <alignment horizontal="center" vertical="center" wrapText="1"/>
    </xf>
    <xf numFmtId="3" fontId="8" fillId="0" borderId="1" xfId="0" applyNumberFormat="1" applyFont="1" applyBorder="1" applyAlignment="1">
      <alignment horizontal="center" vertical="center"/>
    </xf>
    <xf numFmtId="0" fontId="0" fillId="0" borderId="0" xfId="0" applyAlignment="1">
      <alignment horizontal="center" vertical="center" wrapText="1"/>
    </xf>
    <xf numFmtId="3" fontId="0" fillId="0" borderId="0" xfId="0" applyNumberFormat="1" applyAlignment="1">
      <alignment horizontal="center" vertical="center" wrapText="1"/>
    </xf>
    <xf numFmtId="168" fontId="0" fillId="0" borderId="0" xfId="2" applyNumberFormat="1" applyFont="1" applyAlignment="1">
      <alignment horizontal="center" vertical="center" wrapText="1"/>
    </xf>
    <xf numFmtId="0" fontId="25" fillId="4" borderId="1" xfId="0" applyFont="1" applyFill="1" applyBorder="1" applyAlignment="1">
      <alignment horizontal="left" vertical="center" wrapText="1"/>
    </xf>
    <xf numFmtId="9" fontId="25" fillId="4" borderId="1" xfId="2" applyFont="1" applyFill="1" applyBorder="1" applyAlignment="1" applyProtection="1">
      <alignment horizontal="right" vertical="center"/>
      <protection hidden="1"/>
    </xf>
    <xf numFmtId="4" fontId="25" fillId="4" borderId="1" xfId="2" applyNumberFormat="1" applyFont="1" applyFill="1" applyBorder="1" applyAlignment="1" applyProtection="1">
      <alignment horizontal="right" vertical="center"/>
      <protection hidden="1"/>
    </xf>
    <xf numFmtId="177" fontId="0" fillId="0" borderId="0" xfId="0" applyNumberFormat="1"/>
    <xf numFmtId="0" fontId="25" fillId="4" borderId="1" xfId="0" applyFont="1" applyFill="1" applyBorder="1" applyAlignment="1">
      <alignment horizontal="right" vertical="center" wrapText="1"/>
    </xf>
    <xf numFmtId="10" fontId="25" fillId="4" borderId="1" xfId="2" applyNumberFormat="1" applyFont="1" applyFill="1" applyBorder="1" applyAlignment="1" applyProtection="1">
      <alignment horizontal="right" vertical="center"/>
      <protection hidden="1"/>
    </xf>
    <xf numFmtId="4" fontId="28" fillId="4" borderId="1" xfId="2" applyNumberFormat="1" applyFont="1" applyFill="1" applyBorder="1" applyAlignment="1" applyProtection="1">
      <alignment horizontal="right" vertical="center"/>
      <protection hidden="1"/>
    </xf>
    <xf numFmtId="0" fontId="0" fillId="0" borderId="1" xfId="0" applyBorder="1"/>
    <xf numFmtId="0" fontId="58" fillId="0" borderId="1" xfId="0" applyFont="1" applyBorder="1" applyAlignment="1">
      <alignment horizontal="center" vertical="center" wrapText="1"/>
    </xf>
    <xf numFmtId="0" fontId="43" fillId="0" borderId="1" xfId="0" applyFont="1" applyBorder="1"/>
    <xf numFmtId="3" fontId="43" fillId="0" borderId="9" xfId="2" applyNumberFormat="1" applyFont="1" applyBorder="1" applyAlignment="1">
      <alignment horizontal="center" vertical="center" wrapText="1"/>
    </xf>
    <xf numFmtId="4" fontId="43" fillId="0" borderId="9" xfId="0" applyNumberFormat="1" applyFont="1" applyBorder="1" applyAlignment="1">
      <alignment horizontal="center" vertical="center" wrapText="1"/>
    </xf>
    <xf numFmtId="0" fontId="8" fillId="0" borderId="1" xfId="0" applyFont="1" applyBorder="1" applyAlignment="1">
      <alignment horizontal="center" vertical="center" wrapText="1"/>
    </xf>
    <xf numFmtId="4" fontId="8" fillId="0" borderId="1" xfId="0" applyNumberFormat="1" applyFont="1" applyBorder="1" applyAlignment="1">
      <alignment horizontal="center" wrapText="1"/>
    </xf>
    <xf numFmtId="4" fontId="43" fillId="0" borderId="1" xfId="0" applyNumberFormat="1" applyFont="1" applyBorder="1" applyAlignment="1">
      <alignment horizontal="center" wrapText="1"/>
    </xf>
    <xf numFmtId="0" fontId="8" fillId="0" borderId="1" xfId="0" applyFont="1" applyBorder="1" applyAlignment="1">
      <alignment horizontal="left" vertical="center" wrapText="1"/>
    </xf>
    <xf numFmtId="168" fontId="0" fillId="4" borderId="1" xfId="0" applyNumberFormat="1" applyFill="1" applyBorder="1" applyAlignment="1">
      <alignment horizontal="center" vertical="center"/>
    </xf>
    <xf numFmtId="3" fontId="0" fillId="0" borderId="1" xfId="0" applyNumberFormat="1" applyBorder="1" applyAlignment="1">
      <alignment vertical="center"/>
    </xf>
    <xf numFmtId="3" fontId="0" fillId="0" borderId="8" xfId="0" applyNumberFormat="1" applyBorder="1" applyAlignment="1">
      <alignment horizontal="center" vertical="center"/>
    </xf>
    <xf numFmtId="3" fontId="0" fillId="0" borderId="1" xfId="2" applyNumberFormat="1" applyFont="1" applyBorder="1" applyAlignment="1">
      <alignment horizontal="center" vertical="center"/>
    </xf>
    <xf numFmtId="3" fontId="0" fillId="4" borderId="1" xfId="0" applyNumberFormat="1" applyFill="1" applyBorder="1" applyAlignment="1">
      <alignment horizontal="center" vertical="center"/>
    </xf>
    <xf numFmtId="0" fontId="0" fillId="4" borderId="1" xfId="0" applyFill="1" applyBorder="1"/>
    <xf numFmtId="4" fontId="43" fillId="0" borderId="1" xfId="0" applyNumberFormat="1" applyFont="1" applyBorder="1" applyAlignment="1">
      <alignment horizontal="center" vertical="center" wrapText="1"/>
    </xf>
    <xf numFmtId="4" fontId="43" fillId="0" borderId="1" xfId="2" applyNumberFormat="1" applyFont="1" applyBorder="1" applyAlignment="1">
      <alignment horizontal="center" vertical="center"/>
    </xf>
    <xf numFmtId="0" fontId="0" fillId="0" borderId="1" xfId="0" applyBorder="1" applyAlignment="1">
      <alignment horizontal="center"/>
    </xf>
    <xf numFmtId="4" fontId="43" fillId="2" borderId="1" xfId="0" applyNumberFormat="1" applyFont="1" applyFill="1" applyBorder="1" applyAlignment="1">
      <alignment horizontal="center" vertical="center" wrapText="1"/>
    </xf>
    <xf numFmtId="3" fontId="0" fillId="0" borderId="1" xfId="0" applyNumberFormat="1" applyBorder="1" applyAlignment="1">
      <alignment horizontal="center"/>
    </xf>
    <xf numFmtId="0" fontId="43" fillId="2" borderId="9" xfId="0" applyFont="1" applyFill="1" applyBorder="1" applyAlignment="1">
      <alignment horizontal="left" vertical="center" wrapText="1"/>
    </xf>
    <xf numFmtId="4" fontId="43" fillId="2" borderId="9" xfId="0" applyNumberFormat="1" applyFont="1" applyFill="1" applyBorder="1" applyAlignment="1">
      <alignment horizontal="center" vertical="center" wrapText="1"/>
    </xf>
    <xf numFmtId="9" fontId="0" fillId="0" borderId="1" xfId="2" applyFont="1" applyBorder="1" applyAlignment="1">
      <alignment horizontal="center" vertical="center" wrapText="1"/>
    </xf>
    <xf numFmtId="0" fontId="0" fillId="0" borderId="0" xfId="0" applyAlignment="1">
      <alignment horizontal="left" vertical="center" wrapText="1"/>
    </xf>
    <xf numFmtId="9" fontId="0" fillId="0" borderId="0" xfId="2" applyFont="1" applyBorder="1" applyAlignment="1">
      <alignment horizontal="center" vertical="center" wrapText="1"/>
    </xf>
    <xf numFmtId="3" fontId="0" fillId="0" borderId="0" xfId="2" applyNumberFormat="1" applyFont="1" applyBorder="1" applyAlignment="1">
      <alignment horizontal="center" vertical="center" wrapText="1"/>
    </xf>
    <xf numFmtId="0" fontId="43" fillId="0" borderId="0" xfId="0" applyFont="1" applyAlignment="1">
      <alignment horizontal="left" vertical="center" wrapText="1"/>
    </xf>
    <xf numFmtId="9" fontId="8" fillId="0" borderId="0" xfId="2" applyFont="1" applyBorder="1" applyAlignment="1">
      <alignment horizontal="center" vertical="center" wrapText="1"/>
    </xf>
    <xf numFmtId="3" fontId="43" fillId="0" borderId="0" xfId="2" applyNumberFormat="1" applyFont="1" applyBorder="1" applyAlignment="1">
      <alignment horizontal="center" vertical="center" wrapText="1"/>
    </xf>
    <xf numFmtId="3" fontId="8" fillId="0" borderId="0" xfId="0" applyNumberFormat="1" applyFont="1" applyAlignment="1">
      <alignment horizontal="center" vertical="center" wrapText="1"/>
    </xf>
    <xf numFmtId="3" fontId="8" fillId="0" borderId="0" xfId="0" applyNumberFormat="1" applyFont="1" applyAlignment="1">
      <alignment horizontal="center" vertical="center"/>
    </xf>
    <xf numFmtId="3" fontId="0" fillId="0" borderId="9" xfId="0" applyNumberFormat="1" applyBorder="1" applyAlignment="1">
      <alignment horizontal="center" vertical="center" wrapText="1"/>
    </xf>
    <xf numFmtId="173" fontId="43" fillId="0" borderId="1" xfId="0" applyNumberFormat="1" applyFont="1" applyBorder="1" applyAlignment="1">
      <alignment horizontal="center" wrapText="1"/>
    </xf>
    <xf numFmtId="0" fontId="7" fillId="0" borderId="1" xfId="0" applyFont="1" applyBorder="1" applyAlignment="1">
      <alignment horizontal="left" vertical="center" wrapText="1"/>
    </xf>
    <xf numFmtId="171" fontId="55" fillId="0" borderId="0" xfId="0" applyNumberFormat="1" applyFont="1"/>
    <xf numFmtId="175" fontId="0" fillId="0" borderId="0" xfId="0" applyNumberFormat="1"/>
    <xf numFmtId="4" fontId="28" fillId="0" borderId="1" xfId="2" applyNumberFormat="1" applyFont="1" applyFill="1" applyBorder="1" applyAlignment="1" applyProtection="1">
      <alignment horizontal="right" vertical="center"/>
      <protection hidden="1"/>
    </xf>
    <xf numFmtId="0" fontId="25" fillId="0" borderId="1" xfId="0" applyFont="1" applyBorder="1" applyAlignment="1">
      <alignment horizontal="right" vertical="center" wrapText="1"/>
    </xf>
    <xf numFmtId="0" fontId="49" fillId="0" borderId="1" xfId="0" applyFont="1" applyBorder="1" applyAlignment="1">
      <alignment horizontal="center" vertical="center"/>
    </xf>
    <xf numFmtId="9" fontId="0" fillId="0" borderId="0" xfId="2" applyFont="1"/>
    <xf numFmtId="3" fontId="45" fillId="0" borderId="0" xfId="0" applyNumberFormat="1" applyFont="1" applyAlignment="1">
      <alignment vertical="center" wrapText="1"/>
    </xf>
    <xf numFmtId="0" fontId="25" fillId="6" borderId="0" xfId="0" applyFont="1" applyFill="1" applyAlignment="1">
      <alignment horizontal="center" vertical="center"/>
    </xf>
    <xf numFmtId="0" fontId="25" fillId="6" borderId="0" xfId="0" applyFont="1" applyFill="1" applyAlignment="1">
      <alignment vertical="center"/>
    </xf>
    <xf numFmtId="0" fontId="26" fillId="6" borderId="0" xfId="0" applyFont="1" applyFill="1" applyAlignment="1">
      <alignment horizontal="center" vertical="center"/>
    </xf>
    <xf numFmtId="0" fontId="66" fillId="6" borderId="0" xfId="0" applyFont="1" applyFill="1" applyAlignment="1">
      <alignment horizontal="center" vertical="center"/>
    </xf>
    <xf numFmtId="0" fontId="20" fillId="6" borderId="0" xfId="0" applyFont="1" applyFill="1" applyAlignment="1">
      <alignment vertical="center"/>
    </xf>
    <xf numFmtId="0" fontId="20" fillId="6" borderId="0" xfId="0" applyFont="1" applyFill="1" applyAlignment="1">
      <alignment horizontal="center" vertical="center"/>
    </xf>
    <xf numFmtId="0" fontId="19" fillId="6" borderId="0" xfId="0" applyFont="1" applyFill="1" applyAlignment="1">
      <alignment horizontal="center" vertical="center"/>
    </xf>
    <xf numFmtId="0" fontId="25" fillId="6" borderId="0" xfId="0" applyFont="1" applyFill="1" applyAlignment="1">
      <alignment horizontal="right" vertical="center"/>
    </xf>
    <xf numFmtId="182" fontId="0" fillId="0" borderId="0" xfId="0" applyNumberFormat="1"/>
    <xf numFmtId="183" fontId="0" fillId="0" borderId="0" xfId="0" applyNumberFormat="1"/>
    <xf numFmtId="0" fontId="28" fillId="6" borderId="0" xfId="0" applyFont="1" applyFill="1" applyAlignment="1">
      <alignment vertical="center"/>
    </xf>
    <xf numFmtId="3" fontId="0" fillId="0" borderId="0" xfId="2" applyNumberFormat="1" applyFont="1"/>
    <xf numFmtId="168" fontId="0" fillId="0" borderId="0" xfId="2" applyNumberFormat="1" applyFont="1"/>
    <xf numFmtId="172" fontId="0" fillId="0" borderId="0" xfId="0" applyNumberFormat="1"/>
    <xf numFmtId="2" fontId="0" fillId="0" borderId="0" xfId="0" applyNumberFormat="1" applyAlignment="1">
      <alignment horizontal="center" vertical="center"/>
    </xf>
    <xf numFmtId="0" fontId="5" fillId="0" borderId="1" xfId="0" applyFont="1" applyBorder="1" applyAlignment="1">
      <alignment horizontal="left" vertical="center" wrapText="1"/>
    </xf>
    <xf numFmtId="3" fontId="8" fillId="0" borderId="1" xfId="0" applyNumberFormat="1" applyFont="1" applyBorder="1" applyAlignment="1">
      <alignment horizontal="center" wrapText="1"/>
    </xf>
    <xf numFmtId="3" fontId="25" fillId="6" borderId="13" xfId="2" applyNumberFormat="1" applyFont="1" applyFill="1" applyBorder="1" applyAlignment="1" applyProtection="1">
      <alignment horizontal="right" vertical="center"/>
    </xf>
    <xf numFmtId="0" fontId="25" fillId="5" borderId="0" xfId="0" applyFont="1" applyFill="1" applyAlignment="1">
      <alignment horizontal="center" vertical="center"/>
    </xf>
    <xf numFmtId="3" fontId="67" fillId="5" borderId="13" xfId="2" applyNumberFormat="1" applyFont="1" applyFill="1" applyBorder="1" applyAlignment="1" applyProtection="1">
      <alignment horizontal="right" vertical="center"/>
    </xf>
    <xf numFmtId="3" fontId="25" fillId="7" borderId="13" xfId="2" applyNumberFormat="1" applyFont="1" applyFill="1" applyBorder="1" applyAlignment="1" applyProtection="1">
      <alignment horizontal="right" vertical="center"/>
      <protection locked="0"/>
    </xf>
    <xf numFmtId="3" fontId="20" fillId="6" borderId="13" xfId="2" applyNumberFormat="1" applyFont="1" applyFill="1" applyBorder="1" applyAlignment="1" applyProtection="1">
      <alignment horizontal="right" vertical="center"/>
    </xf>
    <xf numFmtId="3" fontId="68" fillId="6" borderId="13" xfId="2" applyNumberFormat="1" applyFont="1" applyFill="1" applyBorder="1" applyAlignment="1" applyProtection="1">
      <alignment horizontal="right" vertical="center"/>
      <protection hidden="1"/>
    </xf>
    <xf numFmtId="3" fontId="68" fillId="7" borderId="13" xfId="2" applyNumberFormat="1" applyFont="1" applyFill="1" applyBorder="1" applyAlignment="1" applyProtection="1">
      <alignment horizontal="right" vertical="center"/>
      <protection locked="0"/>
    </xf>
    <xf numFmtId="3" fontId="69" fillId="7" borderId="13" xfId="2" applyNumberFormat="1" applyFont="1" applyFill="1" applyBorder="1" applyAlignment="1" applyProtection="1">
      <alignment horizontal="right" vertical="center"/>
      <protection locked="0"/>
    </xf>
    <xf numFmtId="3" fontId="70" fillId="6" borderId="13" xfId="2" applyNumberFormat="1" applyFont="1" applyFill="1" applyBorder="1" applyAlignment="1" applyProtection="1">
      <alignment horizontal="right" vertical="center"/>
      <protection hidden="1"/>
    </xf>
    <xf numFmtId="3" fontId="70" fillId="7" borderId="13" xfId="2" applyNumberFormat="1" applyFont="1" applyFill="1" applyBorder="1" applyAlignment="1" applyProtection="1">
      <alignment horizontal="right" vertical="center"/>
      <protection locked="0"/>
    </xf>
    <xf numFmtId="10" fontId="69" fillId="7" borderId="13" xfId="2" applyNumberFormat="1" applyFont="1" applyFill="1" applyBorder="1" applyAlignment="1" applyProtection="1">
      <alignment horizontal="right" vertical="center"/>
      <protection locked="0"/>
    </xf>
    <xf numFmtId="10" fontId="70" fillId="6" borderId="13" xfId="2" applyNumberFormat="1" applyFont="1" applyFill="1" applyBorder="1" applyAlignment="1" applyProtection="1">
      <alignment horizontal="right" vertical="center"/>
      <protection hidden="1"/>
    </xf>
    <xf numFmtId="0" fontId="71" fillId="0" borderId="0" xfId="0" applyFont="1"/>
    <xf numFmtId="168" fontId="70" fillId="6" borderId="13" xfId="2" applyNumberFormat="1" applyFont="1" applyFill="1" applyBorder="1" applyAlignment="1" applyProtection="1">
      <alignment horizontal="right" vertical="center"/>
      <protection hidden="1"/>
    </xf>
    <xf numFmtId="3" fontId="72" fillId="6" borderId="13" xfId="2" applyNumberFormat="1" applyFont="1" applyFill="1" applyBorder="1" applyAlignment="1" applyProtection="1">
      <alignment horizontal="right" vertical="center"/>
      <protection hidden="1"/>
    </xf>
    <xf numFmtId="3" fontId="72" fillId="6" borderId="13" xfId="2" applyNumberFormat="1" applyFont="1" applyFill="1" applyBorder="1" applyAlignment="1" applyProtection="1">
      <alignment horizontal="right" vertical="center"/>
    </xf>
    <xf numFmtId="3" fontId="72" fillId="7" borderId="13" xfId="2" applyNumberFormat="1" applyFont="1" applyFill="1" applyBorder="1" applyAlignment="1" applyProtection="1">
      <alignment horizontal="right" vertical="center"/>
      <protection locked="0"/>
    </xf>
    <xf numFmtId="3" fontId="73" fillId="0" borderId="0" xfId="0" applyNumberFormat="1" applyFont="1"/>
    <xf numFmtId="3" fontId="74" fillId="6" borderId="13" xfId="2" applyNumberFormat="1" applyFont="1" applyFill="1" applyBorder="1" applyAlignment="1" applyProtection="1">
      <alignment horizontal="right" vertical="center"/>
      <protection hidden="1"/>
    </xf>
    <xf numFmtId="3" fontId="72" fillId="6" borderId="13" xfId="2" applyNumberFormat="1" applyFont="1" applyFill="1" applyBorder="1" applyAlignment="1" applyProtection="1">
      <alignment horizontal="right" vertical="center"/>
      <protection locked="0"/>
    </xf>
    <xf numFmtId="3" fontId="67" fillId="6" borderId="13" xfId="2" applyNumberFormat="1" applyFont="1" applyFill="1" applyBorder="1" applyAlignment="1" applyProtection="1">
      <alignment horizontal="right" vertical="center"/>
      <protection hidden="1"/>
    </xf>
    <xf numFmtId="3" fontId="74" fillId="6" borderId="13" xfId="2" applyNumberFormat="1" applyFont="1" applyFill="1" applyBorder="1" applyAlignment="1" applyProtection="1">
      <alignment horizontal="right"/>
      <protection hidden="1"/>
    </xf>
    <xf numFmtId="3" fontId="70" fillId="6" borderId="13" xfId="2" applyNumberFormat="1" applyFont="1" applyFill="1" applyBorder="1" applyAlignment="1" applyProtection="1">
      <alignment horizontal="right" vertical="center"/>
    </xf>
    <xf numFmtId="3" fontId="70" fillId="6" borderId="0" xfId="2" applyNumberFormat="1" applyFont="1" applyFill="1" applyBorder="1" applyAlignment="1" applyProtection="1">
      <alignment horizontal="right" vertical="center"/>
    </xf>
    <xf numFmtId="0" fontId="19" fillId="5" borderId="0" xfId="0" applyFont="1" applyFill="1" applyAlignment="1">
      <alignment vertical="center"/>
    </xf>
    <xf numFmtId="0" fontId="19" fillId="5" borderId="0" xfId="0" applyFont="1" applyFill="1" applyAlignment="1">
      <alignment horizontal="center" vertical="center"/>
    </xf>
    <xf numFmtId="0" fontId="19" fillId="5" borderId="0" xfId="0" applyFont="1" applyFill="1" applyAlignment="1">
      <alignment horizontal="left" vertical="center"/>
    </xf>
    <xf numFmtId="165" fontId="19" fillId="5" borderId="13" xfId="0" applyNumberFormat="1" applyFont="1" applyFill="1" applyBorder="1" applyAlignment="1">
      <alignment horizontal="right" vertical="center"/>
    </xf>
    <xf numFmtId="10" fontId="20" fillId="6" borderId="13" xfId="2" applyNumberFormat="1" applyFont="1" applyFill="1" applyBorder="1" applyAlignment="1" applyProtection="1">
      <alignment horizontal="right" vertical="center"/>
    </xf>
    <xf numFmtId="0" fontId="31" fillId="5" borderId="13" xfId="0" applyFont="1" applyFill="1" applyBorder="1" applyAlignment="1">
      <alignment horizontal="right" vertical="center" wrapText="1"/>
    </xf>
    <xf numFmtId="9" fontId="20" fillId="3" borderId="13" xfId="2" applyFont="1" applyFill="1" applyBorder="1" applyAlignment="1" applyProtection="1">
      <alignment horizontal="right" vertical="center"/>
    </xf>
    <xf numFmtId="174" fontId="19" fillId="5" borderId="13" xfId="0" applyNumberFormat="1" applyFont="1" applyFill="1" applyBorder="1" applyAlignment="1">
      <alignment horizontal="right" vertical="center"/>
    </xf>
    <xf numFmtId="165" fontId="19" fillId="5" borderId="13" xfId="0" applyNumberFormat="1" applyFont="1" applyFill="1" applyBorder="1" applyAlignment="1">
      <alignment horizontal="center" vertical="center" wrapText="1"/>
    </xf>
    <xf numFmtId="168" fontId="25" fillId="6" borderId="13" xfId="2" applyNumberFormat="1" applyFont="1" applyFill="1" applyBorder="1" applyAlignment="1">
      <alignment horizontal="right" vertical="center" wrapText="1"/>
    </xf>
    <xf numFmtId="3" fontId="28" fillId="6" borderId="13" xfId="2" applyNumberFormat="1" applyFont="1" applyFill="1" applyBorder="1" applyAlignment="1" applyProtection="1">
      <alignment horizontal="right" vertical="center"/>
    </xf>
    <xf numFmtId="168" fontId="28" fillId="6" borderId="13" xfId="2" applyNumberFormat="1" applyFont="1" applyFill="1" applyBorder="1" applyAlignment="1">
      <alignment horizontal="right" vertical="center" wrapText="1"/>
    </xf>
    <xf numFmtId="3" fontId="28" fillId="6" borderId="13" xfId="2" applyNumberFormat="1" applyFont="1" applyFill="1" applyBorder="1" applyAlignment="1" applyProtection="1">
      <alignment horizontal="right" vertical="center" wrapText="1"/>
    </xf>
    <xf numFmtId="3" fontId="20" fillId="6" borderId="13" xfId="2" applyNumberFormat="1" applyFont="1" applyFill="1" applyBorder="1" applyAlignment="1" applyProtection="1">
      <alignment horizontal="right" vertical="center" wrapText="1"/>
    </xf>
    <xf numFmtId="10" fontId="20" fillId="7" borderId="13" xfId="2" applyNumberFormat="1" applyFont="1" applyFill="1" applyBorder="1" applyAlignment="1" applyProtection="1">
      <alignment horizontal="right" vertical="center"/>
      <protection locked="0"/>
    </xf>
    <xf numFmtId="9" fontId="20" fillId="7" borderId="13" xfId="2" applyFont="1" applyFill="1" applyBorder="1" applyAlignment="1" applyProtection="1">
      <alignment horizontal="right" vertical="center"/>
      <protection locked="0"/>
    </xf>
    <xf numFmtId="3" fontId="20" fillId="7" borderId="13" xfId="2" applyNumberFormat="1" applyFont="1" applyFill="1" applyBorder="1" applyAlignment="1" applyProtection="1">
      <alignment horizontal="right" vertical="center"/>
      <protection locked="0"/>
    </xf>
    <xf numFmtId="3" fontId="20" fillId="7" borderId="13" xfId="2" applyNumberFormat="1" applyFont="1" applyFill="1" applyBorder="1" applyAlignment="1" applyProtection="1">
      <alignment horizontal="right" vertical="center" wrapText="1"/>
      <protection locked="0"/>
    </xf>
    <xf numFmtId="0" fontId="40" fillId="5" borderId="0" xfId="0" applyFont="1" applyFill="1" applyAlignment="1">
      <alignment horizontal="center" vertical="center"/>
    </xf>
    <xf numFmtId="0" fontId="0" fillId="5" borderId="0" xfId="0" applyFill="1"/>
    <xf numFmtId="0" fontId="46" fillId="5" borderId="0" xfId="0" applyFont="1" applyFill="1" applyAlignment="1">
      <alignment vertical="center" wrapText="1"/>
    </xf>
    <xf numFmtId="165" fontId="18" fillId="8" borderId="7" xfId="0" applyNumberFormat="1" applyFont="1" applyFill="1" applyBorder="1" applyAlignment="1">
      <alignment horizontal="center" vertical="center"/>
    </xf>
    <xf numFmtId="165" fontId="75" fillId="8" borderId="19" xfId="0" applyNumberFormat="1" applyFont="1" applyFill="1" applyBorder="1" applyAlignment="1">
      <alignment horizontal="right" vertical="center"/>
    </xf>
    <xf numFmtId="165" fontId="75" fillId="8" borderId="20" xfId="0" applyNumberFormat="1" applyFont="1" applyFill="1" applyBorder="1" applyAlignment="1">
      <alignment horizontal="right" vertical="center"/>
    </xf>
    <xf numFmtId="0" fontId="77" fillId="8" borderId="21" xfId="0" applyFont="1" applyFill="1" applyBorder="1" applyAlignment="1">
      <alignment horizontal="center" vertical="center" wrapText="1"/>
    </xf>
    <xf numFmtId="1" fontId="18" fillId="8" borderId="0" xfId="0" applyNumberFormat="1" applyFont="1" applyFill="1" applyAlignment="1">
      <alignment horizontal="center" vertical="center"/>
    </xf>
    <xf numFmtId="1" fontId="18" fillId="8" borderId="0" xfId="16" applyNumberFormat="1" applyFont="1" applyFill="1" applyAlignment="1">
      <alignment horizontal="center" vertical="center"/>
    </xf>
    <xf numFmtId="165" fontId="19" fillId="0" borderId="29" xfId="0" applyNumberFormat="1" applyFont="1" applyBorder="1" applyAlignment="1">
      <alignment horizontal="right" vertical="center"/>
    </xf>
    <xf numFmtId="0" fontId="19" fillId="3" borderId="27" xfId="0" applyFont="1" applyFill="1" applyBorder="1" applyAlignment="1">
      <alignment horizontal="left" vertical="center"/>
    </xf>
    <xf numFmtId="165" fontId="19" fillId="4" borderId="0" xfId="0" applyNumberFormat="1" applyFont="1" applyFill="1" applyAlignment="1">
      <alignment horizontal="right" vertical="center"/>
    </xf>
    <xf numFmtId="167" fontId="19" fillId="4" borderId="0" xfId="1" applyNumberFormat="1" applyFont="1" applyFill="1" applyBorder="1" applyAlignment="1">
      <alignment vertical="center"/>
    </xf>
    <xf numFmtId="1" fontId="25" fillId="6" borderId="13" xfId="2" applyNumberFormat="1" applyFont="1" applyFill="1" applyBorder="1" applyAlignment="1" applyProtection="1">
      <alignment horizontal="right" vertical="center"/>
    </xf>
    <xf numFmtId="2" fontId="25" fillId="6" borderId="13" xfId="2" applyNumberFormat="1" applyFont="1" applyFill="1" applyBorder="1" applyAlignment="1" applyProtection="1">
      <alignment horizontal="right" vertical="center"/>
    </xf>
    <xf numFmtId="2" fontId="47" fillId="6" borderId="13" xfId="2" applyNumberFormat="1" applyFont="1" applyFill="1" applyBorder="1" applyAlignment="1" applyProtection="1">
      <alignment horizontal="right" vertical="center"/>
    </xf>
    <xf numFmtId="2" fontId="20" fillId="6" borderId="13" xfId="2" applyNumberFormat="1" applyFont="1" applyFill="1" applyBorder="1" applyAlignment="1" applyProtection="1">
      <alignment horizontal="right" vertical="center"/>
    </xf>
    <xf numFmtId="3" fontId="20" fillId="6" borderId="13" xfId="2" applyNumberFormat="1" applyFont="1" applyFill="1" applyBorder="1" applyAlignment="1" applyProtection="1">
      <alignment horizontal="right" vertical="center"/>
      <protection locked="0"/>
    </xf>
    <xf numFmtId="10" fontId="20" fillId="6" borderId="13" xfId="2" applyNumberFormat="1" applyFont="1" applyFill="1" applyBorder="1" applyAlignment="1" applyProtection="1">
      <alignment horizontal="right" vertical="center"/>
      <protection locked="0"/>
    </xf>
    <xf numFmtId="10" fontId="20" fillId="6" borderId="0" xfId="2" applyNumberFormat="1" applyFont="1" applyFill="1" applyAlignment="1" applyProtection="1">
      <alignment horizontal="right" vertical="center"/>
      <protection locked="0"/>
    </xf>
    <xf numFmtId="3" fontId="54" fillId="6" borderId="0" xfId="2" applyNumberFormat="1" applyFont="1" applyFill="1" applyAlignment="1" applyProtection="1">
      <alignment horizontal="right" vertical="center"/>
      <protection locked="0"/>
    </xf>
    <xf numFmtId="0" fontId="19" fillId="6" borderId="27" xfId="0" applyFont="1" applyFill="1" applyBorder="1" applyAlignment="1">
      <alignment horizontal="left" vertical="center"/>
    </xf>
    <xf numFmtId="0" fontId="25" fillId="6" borderId="27" xfId="0" applyFont="1" applyFill="1" applyBorder="1" applyAlignment="1">
      <alignment horizontal="left" vertical="center" wrapText="1"/>
    </xf>
    <xf numFmtId="0" fontId="25" fillId="6" borderId="27" xfId="0" applyFont="1" applyFill="1" applyBorder="1" applyAlignment="1">
      <alignment vertical="center"/>
    </xf>
    <xf numFmtId="0" fontId="25" fillId="6" borderId="27" xfId="0" applyFont="1" applyFill="1" applyBorder="1" applyAlignment="1">
      <alignment horizontal="right" vertical="center"/>
    </xf>
    <xf numFmtId="3" fontId="28" fillId="6" borderId="13" xfId="0" applyNumberFormat="1" applyFont="1" applyFill="1" applyBorder="1" applyAlignment="1">
      <alignment horizontal="right" vertical="center" wrapText="1"/>
    </xf>
    <xf numFmtId="3" fontId="25" fillId="6" borderId="13" xfId="2" applyNumberFormat="1" applyFont="1" applyFill="1" applyBorder="1" applyAlignment="1">
      <alignment horizontal="right" vertical="center" wrapText="1"/>
    </xf>
    <xf numFmtId="3" fontId="25" fillId="6" borderId="30" xfId="2" applyNumberFormat="1" applyFont="1" applyFill="1" applyBorder="1" applyAlignment="1">
      <alignment horizontal="right" vertical="center" wrapText="1"/>
    </xf>
    <xf numFmtId="3" fontId="28" fillId="6" borderId="18" xfId="0" applyNumberFormat="1" applyFont="1" applyFill="1" applyBorder="1" applyAlignment="1">
      <alignment horizontal="right" vertical="center" wrapText="1"/>
    </xf>
    <xf numFmtId="3" fontId="28" fillId="6" borderId="13" xfId="2" applyNumberFormat="1" applyFont="1" applyFill="1" applyBorder="1" applyAlignment="1">
      <alignment horizontal="right" vertical="center" wrapText="1"/>
    </xf>
    <xf numFmtId="0" fontId="19" fillId="5" borderId="28" xfId="0" applyFont="1" applyFill="1" applyBorder="1" applyAlignment="1">
      <alignment horizontal="left" vertical="center"/>
    </xf>
    <xf numFmtId="0" fontId="19" fillId="5" borderId="29" xfId="0" applyFont="1" applyFill="1" applyBorder="1" applyAlignment="1">
      <alignment horizontal="center" vertical="center"/>
    </xf>
    <xf numFmtId="3" fontId="19" fillId="5" borderId="24" xfId="0" applyNumberFormat="1" applyFont="1" applyFill="1" applyBorder="1" applyAlignment="1">
      <alignment horizontal="right" vertical="center" wrapText="1"/>
    </xf>
    <xf numFmtId="0" fontId="19" fillId="5" borderId="27" xfId="0" applyFont="1" applyFill="1" applyBorder="1" applyAlignment="1">
      <alignment horizontal="left" vertical="center"/>
    </xf>
    <xf numFmtId="3" fontId="19" fillId="5" borderId="13" xfId="0" applyNumberFormat="1" applyFont="1" applyFill="1" applyBorder="1" applyAlignment="1">
      <alignment horizontal="right" vertical="center" wrapText="1"/>
    </xf>
    <xf numFmtId="3" fontId="28" fillId="5" borderId="13" xfId="0" applyNumberFormat="1" applyFont="1" applyFill="1" applyBorder="1" applyAlignment="1">
      <alignment horizontal="right" vertical="center" wrapText="1"/>
    </xf>
    <xf numFmtId="0" fontId="20" fillId="5" borderId="0" xfId="0" applyFont="1" applyFill="1" applyAlignment="1">
      <alignment horizontal="center" vertical="center"/>
    </xf>
    <xf numFmtId="3" fontId="28" fillId="5" borderId="13" xfId="2" applyNumberFormat="1" applyFont="1" applyFill="1" applyBorder="1" applyAlignment="1">
      <alignment horizontal="right" vertical="center" wrapText="1"/>
    </xf>
    <xf numFmtId="3" fontId="25" fillId="5" borderId="0" xfId="2" applyNumberFormat="1" applyFont="1" applyFill="1" applyBorder="1" applyAlignment="1">
      <alignment horizontal="right" vertical="center" wrapText="1"/>
    </xf>
    <xf numFmtId="0" fontId="25" fillId="5" borderId="29" xfId="0" applyFont="1" applyFill="1" applyBorder="1" applyAlignment="1">
      <alignment horizontal="center" vertical="center"/>
    </xf>
    <xf numFmtId="3" fontId="28" fillId="5" borderId="24" xfId="2" applyNumberFormat="1" applyFont="1" applyFill="1" applyBorder="1" applyAlignment="1">
      <alignment horizontal="right" vertical="center" wrapText="1"/>
    </xf>
    <xf numFmtId="165" fontId="19" fillId="6" borderId="13" xfId="0" applyNumberFormat="1" applyFont="1" applyFill="1" applyBorder="1" applyAlignment="1">
      <alignment horizontal="right" vertical="center"/>
    </xf>
    <xf numFmtId="0" fontId="19" fillId="5" borderId="0" xfId="0" applyFont="1" applyFill="1" applyAlignment="1">
      <alignment vertical="center" wrapText="1"/>
    </xf>
    <xf numFmtId="2" fontId="69" fillId="5" borderId="0" xfId="2" applyNumberFormat="1" applyFont="1" applyFill="1" applyBorder="1" applyAlignment="1" applyProtection="1">
      <alignment horizontal="right" vertical="center"/>
    </xf>
    <xf numFmtId="9" fontId="20" fillId="0" borderId="0" xfId="2" applyFont="1" applyFill="1" applyAlignment="1">
      <alignment vertical="center"/>
    </xf>
    <xf numFmtId="3" fontId="20" fillId="0" borderId="0" xfId="2" applyNumberFormat="1" applyFont="1" applyFill="1" applyAlignment="1">
      <alignment horizontal="right" vertical="center"/>
    </xf>
    <xf numFmtId="3" fontId="20" fillId="0" borderId="0" xfId="2" applyNumberFormat="1" applyFont="1" applyFill="1" applyAlignment="1" applyProtection="1">
      <alignment horizontal="right" vertical="center"/>
      <protection locked="0"/>
    </xf>
    <xf numFmtId="165" fontId="19" fillId="5" borderId="33" xfId="0" applyNumberFormat="1" applyFont="1" applyFill="1" applyBorder="1" applyAlignment="1">
      <alignment horizontal="right" vertical="center"/>
    </xf>
    <xf numFmtId="165" fontId="19" fillId="5" borderId="17" xfId="0" applyNumberFormat="1" applyFont="1" applyFill="1" applyBorder="1" applyAlignment="1">
      <alignment horizontal="right" vertical="center"/>
    </xf>
    <xf numFmtId="165" fontId="52" fillId="5" borderId="33" xfId="0" applyNumberFormat="1" applyFont="1" applyFill="1" applyBorder="1" applyAlignment="1">
      <alignment horizontal="right" vertical="center"/>
    </xf>
    <xf numFmtId="165" fontId="52" fillId="5" borderId="17" xfId="0" applyNumberFormat="1" applyFont="1" applyFill="1" applyBorder="1" applyAlignment="1">
      <alignment horizontal="right" vertical="center"/>
    </xf>
    <xf numFmtId="0" fontId="28" fillId="5" borderId="0" xfId="0" applyFont="1" applyFill="1" applyAlignment="1">
      <alignment vertical="center"/>
    </xf>
    <xf numFmtId="0" fontId="28" fillId="5" borderId="0" xfId="0" applyFont="1" applyFill="1" applyAlignment="1">
      <alignment horizontal="center" vertical="center"/>
    </xf>
    <xf numFmtId="165" fontId="67" fillId="5" borderId="13" xfId="0" applyNumberFormat="1" applyFont="1" applyFill="1" applyBorder="1" applyAlignment="1">
      <alignment horizontal="right" vertical="center"/>
    </xf>
    <xf numFmtId="0" fontId="25" fillId="6" borderId="0" xfId="0" applyFont="1" applyFill="1" applyAlignment="1">
      <alignment horizontal="left" vertical="center"/>
    </xf>
    <xf numFmtId="0" fontId="25" fillId="6" borderId="13" xfId="0" applyFont="1" applyFill="1" applyBorder="1" applyAlignment="1">
      <alignment horizontal="center" vertical="center"/>
    </xf>
    <xf numFmtId="0" fontId="25" fillId="6" borderId="13" xfId="0" applyFont="1" applyFill="1" applyBorder="1" applyAlignment="1">
      <alignment horizontal="center" vertical="center" wrapText="1"/>
    </xf>
    <xf numFmtId="0" fontId="77" fillId="8" borderId="0" xfId="0" applyFont="1" applyFill="1"/>
    <xf numFmtId="2" fontId="25" fillId="6" borderId="13" xfId="0" applyNumberFormat="1" applyFont="1" applyFill="1" applyBorder="1" applyAlignment="1">
      <alignment horizontal="center" vertical="center" wrapText="1"/>
    </xf>
    <xf numFmtId="10" fontId="25" fillId="6" borderId="13" xfId="2" applyNumberFormat="1" applyFont="1" applyFill="1" applyBorder="1" applyAlignment="1" applyProtection="1">
      <alignment horizontal="center" vertical="center" wrapText="1"/>
    </xf>
    <xf numFmtId="9" fontId="25" fillId="6" borderId="13" xfId="2" applyFont="1" applyFill="1" applyBorder="1" applyAlignment="1" applyProtection="1">
      <alignment horizontal="center" vertical="center" wrapText="1"/>
    </xf>
    <xf numFmtId="10" fontId="25" fillId="6" borderId="26" xfId="2" applyNumberFormat="1" applyFont="1" applyFill="1" applyBorder="1" applyAlignment="1" applyProtection="1">
      <alignment horizontal="center" vertical="center" wrapText="1"/>
    </xf>
    <xf numFmtId="2" fontId="25" fillId="6" borderId="26" xfId="0" applyNumberFormat="1" applyFont="1" applyFill="1" applyBorder="1" applyAlignment="1">
      <alignment horizontal="center" vertical="center" wrapText="1"/>
    </xf>
    <xf numFmtId="9" fontId="25" fillId="6" borderId="26" xfId="2" applyFont="1" applyFill="1" applyBorder="1" applyAlignment="1" applyProtection="1">
      <alignment horizontal="center" vertical="center" wrapText="1"/>
    </xf>
    <xf numFmtId="10" fontId="25" fillId="6" borderId="17" xfId="2" applyNumberFormat="1" applyFont="1" applyFill="1" applyBorder="1" applyAlignment="1" applyProtection="1">
      <alignment horizontal="center" vertical="center" wrapText="1"/>
    </xf>
    <xf numFmtId="2" fontId="25" fillId="6" borderId="17" xfId="0" applyNumberFormat="1" applyFont="1" applyFill="1" applyBorder="1" applyAlignment="1">
      <alignment horizontal="center" vertical="center" wrapText="1"/>
    </xf>
    <xf numFmtId="10" fontId="25" fillId="6" borderId="25" xfId="2" applyNumberFormat="1" applyFont="1" applyFill="1" applyBorder="1" applyAlignment="1" applyProtection="1">
      <alignment horizontal="center" vertical="center" wrapText="1"/>
    </xf>
    <xf numFmtId="2" fontId="25" fillId="6" borderId="25" xfId="0" applyNumberFormat="1" applyFont="1" applyFill="1" applyBorder="1" applyAlignment="1">
      <alignment horizontal="center" vertical="center" wrapText="1"/>
    </xf>
    <xf numFmtId="9" fontId="25" fillId="6" borderId="25" xfId="2" applyFont="1" applyFill="1" applyBorder="1" applyAlignment="1" applyProtection="1">
      <alignment horizontal="center" vertical="center" wrapText="1"/>
    </xf>
    <xf numFmtId="2" fontId="25" fillId="6" borderId="34" xfId="0" applyNumberFormat="1" applyFont="1" applyFill="1" applyBorder="1" applyAlignment="1">
      <alignment horizontal="center" vertical="center" wrapText="1"/>
    </xf>
    <xf numFmtId="2" fontId="25" fillId="6" borderId="30" xfId="0" applyNumberFormat="1" applyFont="1" applyFill="1" applyBorder="1" applyAlignment="1">
      <alignment horizontal="center" vertical="center" wrapText="1"/>
    </xf>
    <xf numFmtId="2" fontId="25" fillId="6" borderId="31" xfId="0" applyNumberFormat="1" applyFont="1" applyFill="1" applyBorder="1" applyAlignment="1">
      <alignment horizontal="center" vertical="center" wrapText="1"/>
    </xf>
    <xf numFmtId="2" fontId="25" fillId="6" borderId="32" xfId="0" applyNumberFormat="1" applyFont="1" applyFill="1" applyBorder="1" applyAlignment="1">
      <alignment horizontal="center" vertical="center" wrapText="1"/>
    </xf>
    <xf numFmtId="165" fontId="25" fillId="2" borderId="13" xfId="0" applyNumberFormat="1" applyFont="1" applyFill="1" applyBorder="1" applyAlignment="1">
      <alignment horizontal="center" vertical="center" wrapText="1"/>
    </xf>
    <xf numFmtId="173" fontId="25" fillId="7" borderId="13" xfId="0" applyNumberFormat="1" applyFont="1" applyFill="1" applyBorder="1" applyAlignment="1">
      <alignment horizontal="center" vertical="center" wrapText="1"/>
    </xf>
    <xf numFmtId="4" fontId="25" fillId="9" borderId="13" xfId="0" applyNumberFormat="1" applyFont="1" applyFill="1" applyBorder="1" applyAlignment="1">
      <alignment horizontal="center" vertical="center" wrapText="1"/>
    </xf>
    <xf numFmtId="2" fontId="25" fillId="9" borderId="13" xfId="2" applyNumberFormat="1" applyFont="1" applyFill="1" applyBorder="1" applyAlignment="1" applyProtection="1">
      <alignment horizontal="right" vertical="center"/>
    </xf>
    <xf numFmtId="2" fontId="25" fillId="9" borderId="13" xfId="0" applyNumberFormat="1" applyFont="1" applyFill="1" applyBorder="1" applyAlignment="1">
      <alignment horizontal="right" vertical="center" wrapText="1"/>
    </xf>
    <xf numFmtId="1" fontId="25" fillId="9" borderId="13" xfId="2" applyNumberFormat="1" applyFont="1" applyFill="1" applyBorder="1" applyAlignment="1" applyProtection="1">
      <alignment horizontal="right" vertical="center"/>
    </xf>
    <xf numFmtId="172" fontId="25" fillId="9" borderId="26" xfId="0" applyNumberFormat="1" applyFont="1" applyFill="1" applyBorder="1" applyAlignment="1">
      <alignment horizontal="center" vertical="center" wrapText="1"/>
    </xf>
    <xf numFmtId="172" fontId="25" fillId="9" borderId="31" xfId="0" applyNumberFormat="1" applyFont="1" applyFill="1" applyBorder="1" applyAlignment="1">
      <alignment horizontal="center" vertical="center" wrapText="1"/>
    </xf>
    <xf numFmtId="3" fontId="25" fillId="6" borderId="13" xfId="0" applyNumberFormat="1" applyFont="1" applyFill="1" applyBorder="1" applyAlignment="1">
      <alignment horizontal="center" vertical="center" wrapText="1"/>
    </xf>
    <xf numFmtId="169" fontId="25" fillId="6" borderId="13" xfId="0" applyNumberFormat="1" applyFont="1" applyFill="1" applyBorder="1" applyAlignment="1">
      <alignment horizontal="center" vertical="center" wrapText="1"/>
    </xf>
    <xf numFmtId="169" fontId="25" fillId="6" borderId="0" xfId="0" applyNumberFormat="1" applyFont="1" applyFill="1" applyAlignment="1">
      <alignment horizontal="center" vertical="center" wrapText="1"/>
    </xf>
    <xf numFmtId="4" fontId="25" fillId="6" borderId="13" xfId="0" applyNumberFormat="1" applyFont="1" applyFill="1" applyBorder="1" applyAlignment="1">
      <alignment horizontal="center" vertical="center" wrapText="1"/>
    </xf>
    <xf numFmtId="0" fontId="28" fillId="10" borderId="0" xfId="0" applyFont="1" applyFill="1" applyAlignment="1">
      <alignment vertical="center"/>
    </xf>
    <xf numFmtId="165" fontId="25" fillId="10" borderId="25" xfId="0" applyNumberFormat="1" applyFont="1" applyFill="1" applyBorder="1" applyAlignment="1">
      <alignment horizontal="center" vertical="center" wrapText="1"/>
    </xf>
    <xf numFmtId="165" fontId="25" fillId="10" borderId="17" xfId="0" applyNumberFormat="1" applyFont="1" applyFill="1" applyBorder="1" applyAlignment="1">
      <alignment horizontal="center" vertical="center" wrapText="1"/>
    </xf>
    <xf numFmtId="0" fontId="25" fillId="7" borderId="13" xfId="0" applyFont="1" applyFill="1" applyBorder="1" applyAlignment="1">
      <alignment horizontal="center" vertical="center" wrapText="1"/>
    </xf>
    <xf numFmtId="0" fontId="81" fillId="4" borderId="0" xfId="0" applyFont="1" applyFill="1"/>
    <xf numFmtId="0" fontId="0" fillId="9" borderId="0" xfId="0" applyFill="1"/>
    <xf numFmtId="4" fontId="32" fillId="6" borderId="0" xfId="0" applyNumberFormat="1" applyFont="1" applyFill="1"/>
    <xf numFmtId="4" fontId="32" fillId="5" borderId="0" xfId="0" applyNumberFormat="1" applyFont="1" applyFill="1"/>
    <xf numFmtId="3" fontId="83" fillId="7" borderId="37" xfId="2" applyNumberFormat="1" applyFont="1" applyFill="1" applyBorder="1" applyAlignment="1" applyProtection="1">
      <alignment horizontal="center" vertical="center"/>
      <protection locked="0"/>
    </xf>
    <xf numFmtId="0" fontId="77" fillId="10" borderId="14" xfId="0" applyFont="1" applyFill="1" applyBorder="1"/>
    <xf numFmtId="0" fontId="77" fillId="10" borderId="32" xfId="0" applyFont="1" applyFill="1" applyBorder="1"/>
    <xf numFmtId="0" fontId="77" fillId="10" borderId="15" xfId="0" applyFont="1" applyFill="1" applyBorder="1"/>
    <xf numFmtId="165" fontId="76" fillId="10" borderId="16" xfId="0" applyNumberFormat="1" applyFont="1" applyFill="1" applyBorder="1" applyAlignment="1">
      <alignment horizontal="center" vertical="center"/>
    </xf>
    <xf numFmtId="0" fontId="0" fillId="0" borderId="0" xfId="2" applyNumberFormat="1" applyFont="1"/>
    <xf numFmtId="173" fontId="68" fillId="5" borderId="13" xfId="2" applyNumberFormat="1" applyFont="1" applyFill="1" applyBorder="1" applyAlignment="1" applyProtection="1">
      <alignment horizontal="right" vertical="center"/>
    </xf>
    <xf numFmtId="0" fontId="4" fillId="0" borderId="1" xfId="0" applyFont="1" applyBorder="1" applyAlignment="1">
      <alignment horizontal="left" vertical="center" wrapText="1"/>
    </xf>
    <xf numFmtId="165" fontId="25" fillId="10" borderId="26" xfId="0" applyNumberFormat="1" applyFont="1" applyFill="1" applyBorder="1" applyAlignment="1">
      <alignment horizontal="center" vertical="center" wrapText="1"/>
    </xf>
    <xf numFmtId="165" fontId="25" fillId="10" borderId="13" xfId="0" applyNumberFormat="1" applyFont="1" applyFill="1" applyBorder="1" applyAlignment="1">
      <alignment horizontal="center" vertical="center" wrapText="1"/>
    </xf>
    <xf numFmtId="165" fontId="72" fillId="6" borderId="13" xfId="0" applyNumberFormat="1" applyFont="1" applyFill="1" applyBorder="1" applyAlignment="1">
      <alignment horizontal="right" vertical="center"/>
    </xf>
    <xf numFmtId="2" fontId="25" fillId="7" borderId="13" xfId="0" applyNumberFormat="1" applyFont="1" applyFill="1" applyBorder="1" applyAlignment="1">
      <alignment horizontal="center" vertical="center" wrapText="1"/>
    </xf>
    <xf numFmtId="3" fontId="25" fillId="7" borderId="13" xfId="0" applyNumberFormat="1" applyFont="1" applyFill="1" applyBorder="1" applyAlignment="1">
      <alignment horizontal="center" vertical="center" wrapText="1"/>
    </xf>
    <xf numFmtId="2" fontId="25" fillId="9" borderId="13" xfId="0" applyNumberFormat="1" applyFont="1" applyFill="1" applyBorder="1" applyAlignment="1">
      <alignment horizontal="center" vertical="center" wrapText="1"/>
    </xf>
    <xf numFmtId="165" fontId="0" fillId="0" borderId="0" xfId="0" applyNumberFormat="1"/>
    <xf numFmtId="0" fontId="78" fillId="8" borderId="0" xfId="0" applyFont="1" applyFill="1" applyAlignment="1">
      <alignment vertical="center"/>
    </xf>
    <xf numFmtId="0" fontId="0" fillId="0" borderId="0" xfId="0" applyAlignment="1">
      <alignment horizontal="center"/>
    </xf>
    <xf numFmtId="0" fontId="26" fillId="6" borderId="43" xfId="0" applyFont="1" applyFill="1" applyBorder="1" applyAlignment="1">
      <alignment horizontal="right" vertical="center"/>
    </xf>
    <xf numFmtId="165" fontId="25" fillId="10" borderId="45" xfId="0" applyNumberFormat="1" applyFont="1" applyFill="1" applyBorder="1" applyAlignment="1">
      <alignment horizontal="center" vertical="center" wrapText="1"/>
    </xf>
    <xf numFmtId="0" fontId="25" fillId="6" borderId="43" xfId="0" applyFont="1" applyFill="1" applyBorder="1" applyAlignment="1">
      <alignment vertical="center"/>
    </xf>
    <xf numFmtId="9" fontId="25" fillId="6" borderId="45" xfId="2" applyFont="1" applyFill="1" applyBorder="1" applyAlignment="1" applyProtection="1">
      <alignment horizontal="center" vertical="center" wrapText="1"/>
    </xf>
    <xf numFmtId="0" fontId="25" fillId="6" borderId="46" xfId="0" applyFont="1" applyFill="1" applyBorder="1" applyAlignment="1">
      <alignment vertical="center"/>
    </xf>
    <xf numFmtId="9" fontId="25" fillId="6" borderId="47" xfId="2" applyFont="1" applyFill="1" applyBorder="1" applyAlignment="1" applyProtection="1">
      <alignment horizontal="center" vertical="center" wrapText="1"/>
    </xf>
    <xf numFmtId="9" fontId="25" fillId="6" borderId="48" xfId="2" applyFont="1" applyFill="1" applyBorder="1" applyAlignment="1" applyProtection="1">
      <alignment horizontal="center" vertical="center" wrapText="1"/>
    </xf>
    <xf numFmtId="9" fontId="25" fillId="6" borderId="49" xfId="2" applyFont="1" applyFill="1" applyBorder="1" applyAlignment="1" applyProtection="1">
      <alignment horizontal="center" vertical="center" wrapText="1"/>
    </xf>
    <xf numFmtId="9" fontId="25" fillId="6" borderId="50" xfId="2" applyFont="1" applyFill="1" applyBorder="1" applyAlignment="1" applyProtection="1">
      <alignment horizontal="center" vertical="center" wrapText="1"/>
    </xf>
    <xf numFmtId="165" fontId="25" fillId="10" borderId="34" xfId="0" applyNumberFormat="1" applyFont="1" applyFill="1" applyBorder="1" applyAlignment="1">
      <alignment horizontal="center" vertical="center" wrapText="1"/>
    </xf>
    <xf numFmtId="165" fontId="25" fillId="10" borderId="30" xfId="0" applyNumberFormat="1" applyFont="1" applyFill="1" applyBorder="1" applyAlignment="1">
      <alignment horizontal="center" vertical="center" wrapText="1"/>
    </xf>
    <xf numFmtId="165" fontId="25" fillId="10" borderId="31" xfId="0" applyNumberFormat="1" applyFont="1" applyFill="1" applyBorder="1" applyAlignment="1">
      <alignment horizontal="center" vertical="center" wrapText="1"/>
    </xf>
    <xf numFmtId="2" fontId="25" fillId="6" borderId="36" xfId="0" applyNumberFormat="1" applyFont="1" applyFill="1" applyBorder="1" applyAlignment="1">
      <alignment horizontal="center" vertical="center" wrapText="1"/>
    </xf>
    <xf numFmtId="2" fontId="25" fillId="6" borderId="18" xfId="0" applyNumberFormat="1" applyFont="1" applyFill="1" applyBorder="1" applyAlignment="1">
      <alignment horizontal="center" vertical="center" wrapText="1"/>
    </xf>
    <xf numFmtId="2" fontId="25" fillId="6" borderId="35" xfId="0" applyNumberFormat="1" applyFont="1" applyFill="1" applyBorder="1" applyAlignment="1">
      <alignment horizontal="center" vertical="center" wrapText="1"/>
    </xf>
    <xf numFmtId="10" fontId="0" fillId="0" borderId="0" xfId="0" applyNumberFormat="1"/>
    <xf numFmtId="10" fontId="25" fillId="6" borderId="45" xfId="2" applyNumberFormat="1" applyFont="1" applyFill="1" applyBorder="1" applyAlignment="1" applyProtection="1">
      <alignment horizontal="center" vertical="center" wrapText="1"/>
    </xf>
    <xf numFmtId="2" fontId="25" fillId="6" borderId="45" xfId="0" applyNumberFormat="1" applyFont="1" applyFill="1" applyBorder="1" applyAlignment="1">
      <alignment horizontal="center" vertical="center" wrapText="1"/>
    </xf>
    <xf numFmtId="2" fontId="25" fillId="6" borderId="52" xfId="0" applyNumberFormat="1" applyFont="1" applyFill="1" applyBorder="1" applyAlignment="1">
      <alignment horizontal="center" vertical="center" wrapText="1"/>
    </xf>
    <xf numFmtId="172" fontId="25" fillId="9" borderId="47" xfId="0" applyNumberFormat="1" applyFont="1" applyFill="1" applyBorder="1" applyAlignment="1">
      <alignment horizontal="center" vertical="center" wrapText="1"/>
    </xf>
    <xf numFmtId="2" fontId="25" fillId="6" borderId="48" xfId="0" applyNumberFormat="1" applyFont="1" applyFill="1" applyBorder="1" applyAlignment="1">
      <alignment horizontal="center" vertical="center" wrapText="1"/>
    </xf>
    <xf numFmtId="2" fontId="25" fillId="6" borderId="49" xfId="0" applyNumberFormat="1" applyFont="1" applyFill="1" applyBorder="1" applyAlignment="1">
      <alignment horizontal="center" vertical="center" wrapText="1"/>
    </xf>
    <xf numFmtId="2" fontId="25" fillId="6" borderId="47" xfId="0" applyNumberFormat="1" applyFont="1" applyFill="1" applyBorder="1" applyAlignment="1">
      <alignment horizontal="center" vertical="center" wrapText="1"/>
    </xf>
    <xf numFmtId="2" fontId="25" fillId="6" borderId="53" xfId="0" applyNumberFormat="1" applyFont="1" applyFill="1" applyBorder="1" applyAlignment="1">
      <alignment horizontal="center" vertical="center" wrapText="1"/>
    </xf>
    <xf numFmtId="2" fontId="25" fillId="6" borderId="50" xfId="0" applyNumberFormat="1" applyFont="1" applyFill="1" applyBorder="1" applyAlignment="1">
      <alignment horizontal="center" vertical="center" wrapText="1"/>
    </xf>
    <xf numFmtId="165" fontId="67" fillId="6" borderId="13" xfId="0" applyNumberFormat="1" applyFont="1" applyFill="1" applyBorder="1" applyAlignment="1">
      <alignment horizontal="right" vertical="center"/>
    </xf>
    <xf numFmtId="2" fontId="28" fillId="6" borderId="38" xfId="2" applyNumberFormat="1" applyFont="1" applyFill="1" applyBorder="1" applyAlignment="1" applyProtection="1">
      <alignment horizontal="right" vertical="center"/>
      <protection locked="0"/>
    </xf>
    <xf numFmtId="165" fontId="18" fillId="8" borderId="38" xfId="0" applyNumberFormat="1" applyFont="1" applyFill="1" applyBorder="1" applyAlignment="1">
      <alignment horizontal="center" vertical="center"/>
    </xf>
    <xf numFmtId="165" fontId="76" fillId="8" borderId="38" xfId="0" applyNumberFormat="1" applyFont="1" applyFill="1" applyBorder="1" applyAlignment="1">
      <alignment horizontal="center" vertical="center"/>
    </xf>
    <xf numFmtId="170" fontId="75" fillId="8" borderId="38" xfId="2" applyNumberFormat="1" applyFont="1" applyFill="1" applyBorder="1" applyAlignment="1" applyProtection="1">
      <alignment horizontal="right" vertical="center"/>
    </xf>
    <xf numFmtId="165" fontId="75" fillId="8" borderId="38" xfId="0" applyNumberFormat="1" applyFont="1" applyFill="1" applyBorder="1" applyAlignment="1">
      <alignment horizontal="right" vertical="center"/>
    </xf>
    <xf numFmtId="3" fontId="85" fillId="4" borderId="0" xfId="15" applyNumberFormat="1" applyFont="1" applyFill="1" applyBorder="1" applyAlignment="1">
      <alignment horizontal="right" vertical="center"/>
    </xf>
    <xf numFmtId="4" fontId="25" fillId="9" borderId="13" xfId="15" applyNumberFormat="1" applyFont="1" applyFill="1" applyBorder="1" applyAlignment="1">
      <alignment horizontal="right" vertical="center"/>
    </xf>
    <xf numFmtId="0" fontId="19" fillId="5" borderId="55" xfId="0" applyFont="1" applyFill="1" applyBorder="1" applyAlignment="1">
      <alignment horizontal="center" vertical="center"/>
    </xf>
    <xf numFmtId="165" fontId="19" fillId="0" borderId="55" xfId="0" applyNumberFormat="1" applyFont="1" applyBorder="1" applyAlignment="1">
      <alignment horizontal="right" vertical="center"/>
    </xf>
    <xf numFmtId="165" fontId="18" fillId="8" borderId="56" xfId="0" applyNumberFormat="1" applyFont="1" applyFill="1" applyBorder="1" applyAlignment="1">
      <alignment horizontal="center" vertical="center"/>
    </xf>
    <xf numFmtId="0" fontId="0" fillId="0" borderId="58" xfId="0" applyBorder="1"/>
    <xf numFmtId="167" fontId="19" fillId="0" borderId="60" xfId="1" applyNumberFormat="1" applyFont="1" applyFill="1" applyBorder="1" applyAlignment="1" applyProtection="1">
      <alignment vertical="center"/>
    </xf>
    <xf numFmtId="2" fontId="28" fillId="6" borderId="61" xfId="2" applyNumberFormat="1" applyFont="1" applyFill="1" applyBorder="1" applyAlignment="1" applyProtection="1">
      <alignment horizontal="right" vertical="center"/>
      <protection locked="0"/>
    </xf>
    <xf numFmtId="165" fontId="18" fillId="8" borderId="62" xfId="0" applyNumberFormat="1" applyFont="1" applyFill="1" applyBorder="1" applyAlignment="1">
      <alignment horizontal="center" vertical="center"/>
    </xf>
    <xf numFmtId="165" fontId="18" fillId="8" borderId="63" xfId="0" applyNumberFormat="1" applyFont="1" applyFill="1" applyBorder="1" applyAlignment="1">
      <alignment horizontal="center" vertical="center"/>
    </xf>
    <xf numFmtId="2" fontId="28" fillId="6" borderId="63" xfId="2" applyNumberFormat="1" applyFont="1" applyFill="1" applyBorder="1" applyAlignment="1" applyProtection="1">
      <alignment horizontal="right" vertical="center"/>
      <protection locked="0"/>
    </xf>
    <xf numFmtId="165" fontId="76" fillId="8" borderId="63" xfId="0" applyNumberFormat="1" applyFont="1" applyFill="1" applyBorder="1" applyAlignment="1">
      <alignment horizontal="center" vertical="center"/>
    </xf>
    <xf numFmtId="170" fontId="75" fillId="8" borderId="63" xfId="2" applyNumberFormat="1" applyFont="1" applyFill="1" applyBorder="1" applyAlignment="1" applyProtection="1">
      <alignment horizontal="right" vertical="center"/>
    </xf>
    <xf numFmtId="165" fontId="75" fillId="8" borderId="63" xfId="0" applyNumberFormat="1" applyFont="1" applyFill="1" applyBorder="1" applyAlignment="1">
      <alignment horizontal="right" vertical="center"/>
    </xf>
    <xf numFmtId="2" fontId="28" fillId="6" borderId="64" xfId="2" applyNumberFormat="1" applyFont="1" applyFill="1" applyBorder="1" applyAlignment="1" applyProtection="1">
      <alignment horizontal="right" vertical="center"/>
      <protection locked="0"/>
    </xf>
    <xf numFmtId="165" fontId="68" fillId="5" borderId="1" xfId="0" applyNumberFormat="1" applyFont="1" applyFill="1" applyBorder="1" applyAlignment="1">
      <alignment horizontal="center" vertical="center" wrapText="1"/>
    </xf>
    <xf numFmtId="3" fontId="28" fillId="6" borderId="1" xfId="0" applyNumberFormat="1" applyFont="1" applyFill="1" applyBorder="1" applyAlignment="1">
      <alignment vertical="center"/>
    </xf>
    <xf numFmtId="9" fontId="28" fillId="6" borderId="1" xfId="2" applyFont="1" applyFill="1" applyBorder="1" applyAlignment="1">
      <alignment vertical="center"/>
    </xf>
    <xf numFmtId="2" fontId="25" fillId="6" borderId="1" xfId="2" applyNumberFormat="1" applyFont="1" applyFill="1" applyBorder="1" applyAlignment="1" applyProtection="1">
      <alignment horizontal="right" vertical="center" wrapText="1"/>
    </xf>
    <xf numFmtId="168" fontId="25" fillId="6" borderId="1" xfId="2" applyNumberFormat="1" applyFont="1" applyFill="1" applyBorder="1" applyAlignment="1" applyProtection="1">
      <alignment horizontal="right" vertical="center" wrapText="1"/>
    </xf>
    <xf numFmtId="173" fontId="28" fillId="6" borderId="1" xfId="0" applyNumberFormat="1" applyFont="1" applyFill="1" applyBorder="1" applyAlignment="1">
      <alignment vertical="center"/>
    </xf>
    <xf numFmtId="165" fontId="68" fillId="5" borderId="67" xfId="0" applyNumberFormat="1" applyFont="1" applyFill="1" applyBorder="1" applyAlignment="1">
      <alignment horizontal="center" vertical="center" wrapText="1"/>
    </xf>
    <xf numFmtId="168" fontId="28" fillId="6" borderId="67" xfId="2" applyNumberFormat="1" applyFont="1" applyFill="1" applyBorder="1" applyAlignment="1">
      <alignment vertical="center"/>
    </xf>
    <xf numFmtId="2" fontId="25" fillId="6" borderId="68" xfId="2" applyNumberFormat="1" applyFont="1" applyFill="1" applyBorder="1" applyAlignment="1" applyProtection="1">
      <alignment horizontal="right" vertical="center" wrapText="1"/>
    </xf>
    <xf numFmtId="168" fontId="25" fillId="6" borderId="68" xfId="2" applyNumberFormat="1" applyFont="1" applyFill="1" applyBorder="1" applyAlignment="1" applyProtection="1">
      <alignment horizontal="right" vertical="center" wrapText="1"/>
    </xf>
    <xf numFmtId="173" fontId="28" fillId="6" borderId="68" xfId="0" applyNumberFormat="1" applyFont="1" applyFill="1" applyBorder="1" applyAlignment="1">
      <alignment vertical="center"/>
    </xf>
    <xf numFmtId="2" fontId="28" fillId="6" borderId="39" xfId="2" applyNumberFormat="1" applyFont="1" applyFill="1" applyBorder="1" applyAlignment="1" applyProtection="1">
      <alignment horizontal="right" vertical="center"/>
      <protection locked="0"/>
    </xf>
    <xf numFmtId="2" fontId="26" fillId="6" borderId="63" xfId="2" applyNumberFormat="1" applyFont="1" applyFill="1" applyBorder="1" applyAlignment="1" applyProtection="1">
      <alignment horizontal="right" vertical="center"/>
      <protection locked="0"/>
    </xf>
    <xf numFmtId="2" fontId="26" fillId="6" borderId="1" xfId="2" applyNumberFormat="1" applyFont="1" applyFill="1" applyBorder="1" applyAlignment="1" applyProtection="1">
      <alignment horizontal="right" vertical="center"/>
      <protection locked="0"/>
    </xf>
    <xf numFmtId="168" fontId="25" fillId="6" borderId="54" xfId="2" applyNumberFormat="1" applyFont="1" applyFill="1" applyBorder="1" applyAlignment="1" applyProtection="1">
      <alignment horizontal="right" vertical="center" wrapText="1"/>
    </xf>
    <xf numFmtId="168" fontId="25" fillId="6" borderId="55" xfId="2" applyNumberFormat="1" applyFont="1" applyFill="1" applyBorder="1" applyAlignment="1" applyProtection="1">
      <alignment horizontal="right" vertical="center" wrapText="1"/>
    </xf>
    <xf numFmtId="168" fontId="25" fillId="6" borderId="59" xfId="2" applyNumberFormat="1" applyFont="1" applyFill="1" applyBorder="1" applyAlignment="1" applyProtection="1">
      <alignment horizontal="right" vertical="center" wrapText="1"/>
    </xf>
    <xf numFmtId="168" fontId="25" fillId="6" borderId="60" xfId="2" applyNumberFormat="1" applyFont="1" applyFill="1" applyBorder="1" applyAlignment="1" applyProtection="1">
      <alignment horizontal="right" vertical="center" wrapText="1"/>
    </xf>
    <xf numFmtId="168" fontId="25" fillId="6" borderId="70" xfId="2" applyNumberFormat="1" applyFont="1" applyFill="1" applyBorder="1" applyAlignment="1" applyProtection="1">
      <alignment horizontal="right" vertical="center" wrapText="1"/>
    </xf>
    <xf numFmtId="0" fontId="40" fillId="5" borderId="6" xfId="0" applyFont="1" applyFill="1" applyBorder="1" applyAlignment="1">
      <alignment horizontal="center" vertical="center"/>
    </xf>
    <xf numFmtId="167" fontId="41" fillId="0" borderId="6" xfId="1" applyNumberFormat="1" applyFont="1" applyFill="1" applyBorder="1" applyAlignment="1" applyProtection="1">
      <alignment vertical="center"/>
    </xf>
    <xf numFmtId="165" fontId="79" fillId="5" borderId="6" xfId="0" applyNumberFormat="1" applyFont="1" applyFill="1" applyBorder="1" applyAlignment="1">
      <alignment horizontal="center" vertical="center"/>
    </xf>
    <xf numFmtId="165" fontId="79" fillId="5" borderId="7" xfId="0" applyNumberFormat="1" applyFont="1" applyFill="1" applyBorder="1" applyAlignment="1">
      <alignment horizontal="center" vertical="center"/>
    </xf>
    <xf numFmtId="2" fontId="69" fillId="5" borderId="72" xfId="2" applyNumberFormat="1" applyFont="1" applyFill="1" applyBorder="1" applyAlignment="1" applyProtection="1">
      <alignment horizontal="right" vertical="center"/>
    </xf>
    <xf numFmtId="0" fontId="20" fillId="6" borderId="74" xfId="0" applyFont="1" applyFill="1" applyBorder="1" applyAlignment="1">
      <alignment horizontal="center" vertical="center"/>
    </xf>
    <xf numFmtId="167" fontId="19" fillId="0" borderId="74" xfId="1" applyNumberFormat="1" applyFont="1" applyFill="1" applyBorder="1" applyAlignment="1" applyProtection="1">
      <alignment vertical="center"/>
    </xf>
    <xf numFmtId="2" fontId="25" fillId="6" borderId="75" xfId="2" applyNumberFormat="1" applyFont="1" applyFill="1" applyBorder="1" applyAlignment="1" applyProtection="1">
      <alignment horizontal="right" vertical="center"/>
      <protection locked="0"/>
    </xf>
    <xf numFmtId="2" fontId="25" fillId="6" borderId="76" xfId="2" applyNumberFormat="1" applyFont="1" applyFill="1" applyBorder="1" applyAlignment="1" applyProtection="1">
      <alignment horizontal="right" vertical="center"/>
      <protection locked="0"/>
    </xf>
    <xf numFmtId="0" fontId="0" fillId="0" borderId="5" xfId="0" applyBorder="1"/>
    <xf numFmtId="0" fontId="28" fillId="5" borderId="6" xfId="0" applyFont="1" applyFill="1" applyBorder="1" applyAlignment="1">
      <alignment vertical="center"/>
    </xf>
    <xf numFmtId="0" fontId="0" fillId="0" borderId="6" xfId="0" applyBorder="1"/>
    <xf numFmtId="1" fontId="18" fillId="8" borderId="6" xfId="16" applyNumberFormat="1" applyFont="1" applyFill="1" applyBorder="1" applyAlignment="1">
      <alignment horizontal="center" vertical="center"/>
    </xf>
    <xf numFmtId="1" fontId="18" fillId="8" borderId="7" xfId="16" applyNumberFormat="1" applyFont="1" applyFill="1" applyBorder="1" applyAlignment="1">
      <alignment horizontal="center" vertical="center"/>
    </xf>
    <xf numFmtId="0" fontId="0" fillId="0" borderId="71" xfId="0" applyBorder="1"/>
    <xf numFmtId="0" fontId="28" fillId="10" borderId="72" xfId="0" applyFont="1" applyFill="1" applyBorder="1" applyAlignment="1">
      <alignment vertical="center"/>
    </xf>
    <xf numFmtId="0" fontId="20" fillId="6" borderId="72" xfId="0" applyFont="1" applyFill="1" applyBorder="1" applyAlignment="1">
      <alignment horizontal="center" vertical="center"/>
    </xf>
    <xf numFmtId="4" fontId="25" fillId="9" borderId="77" xfId="15" applyNumberFormat="1" applyFont="1" applyFill="1" applyBorder="1" applyAlignment="1">
      <alignment horizontal="right" vertical="center"/>
    </xf>
    <xf numFmtId="0" fontId="0" fillId="0" borderId="73" xfId="0" applyBorder="1"/>
    <xf numFmtId="0" fontId="25" fillId="6" borderId="74" xfId="0" applyFont="1" applyFill="1" applyBorder="1" applyAlignment="1">
      <alignment horizontal="right" vertical="center"/>
    </xf>
    <xf numFmtId="4" fontId="25" fillId="9" borderId="78" xfId="15" applyNumberFormat="1" applyFont="1" applyFill="1" applyBorder="1" applyAlignment="1">
      <alignment horizontal="right" vertical="center"/>
    </xf>
    <xf numFmtId="4" fontId="25" fillId="9" borderId="79" xfId="15" applyNumberFormat="1" applyFont="1" applyFill="1" applyBorder="1" applyAlignment="1">
      <alignment horizontal="right" vertical="center"/>
    </xf>
    <xf numFmtId="0" fontId="78" fillId="8" borderId="5" xfId="0" applyFont="1" applyFill="1" applyBorder="1" applyAlignment="1">
      <alignment horizontal="center" vertical="center"/>
    </xf>
    <xf numFmtId="0" fontId="78" fillId="8" borderId="6" xfId="0" applyFont="1" applyFill="1" applyBorder="1" applyAlignment="1">
      <alignment horizontal="center" vertical="center"/>
    </xf>
    <xf numFmtId="0" fontId="25" fillId="3" borderId="71" xfId="0" applyFont="1" applyFill="1" applyBorder="1" applyAlignment="1">
      <alignment vertical="center"/>
    </xf>
    <xf numFmtId="1" fontId="25" fillId="6" borderId="77" xfId="2" applyNumberFormat="1" applyFont="1" applyFill="1" applyBorder="1" applyAlignment="1" applyProtection="1">
      <alignment horizontal="right" vertical="center"/>
    </xf>
    <xf numFmtId="0" fontId="25" fillId="3" borderId="71" xfId="0" applyFont="1" applyFill="1" applyBorder="1" applyAlignment="1">
      <alignment horizontal="left" vertical="center"/>
    </xf>
    <xf numFmtId="1" fontId="25" fillId="9" borderId="77" xfId="2" applyNumberFormat="1" applyFont="1" applyFill="1" applyBorder="1" applyAlignment="1" applyProtection="1">
      <alignment horizontal="right" vertical="center"/>
    </xf>
    <xf numFmtId="0" fontId="25" fillId="3" borderId="73" xfId="0" applyFont="1" applyFill="1" applyBorder="1" applyAlignment="1">
      <alignment horizontal="left" vertical="center"/>
    </xf>
    <xf numFmtId="0" fontId="25" fillId="3" borderId="74" xfId="0" applyFont="1" applyFill="1" applyBorder="1" applyAlignment="1">
      <alignment horizontal="center" vertical="center"/>
    </xf>
    <xf numFmtId="165" fontId="19" fillId="0" borderId="74" xfId="0" applyNumberFormat="1" applyFont="1" applyBorder="1" applyAlignment="1">
      <alignment horizontal="right" vertical="center"/>
    </xf>
    <xf numFmtId="1" fontId="25" fillId="9" borderId="78" xfId="2" applyNumberFormat="1" applyFont="1" applyFill="1" applyBorder="1" applyAlignment="1" applyProtection="1">
      <alignment horizontal="right" vertical="center"/>
    </xf>
    <xf numFmtId="1" fontId="25" fillId="9" borderId="79" xfId="2" applyNumberFormat="1" applyFont="1" applyFill="1" applyBorder="1" applyAlignment="1" applyProtection="1">
      <alignment horizontal="right" vertical="center"/>
    </xf>
    <xf numFmtId="168" fontId="25" fillId="6" borderId="13" xfId="2" quotePrefix="1" applyNumberFormat="1" applyFont="1" applyFill="1" applyBorder="1" applyAlignment="1">
      <alignment horizontal="right" vertical="center" wrapText="1"/>
    </xf>
    <xf numFmtId="168" fontId="28" fillId="6" borderId="55" xfId="2" applyNumberFormat="1" applyFont="1" applyFill="1" applyBorder="1" applyAlignment="1" applyProtection="1">
      <alignment horizontal="right" vertical="center" wrapText="1"/>
    </xf>
    <xf numFmtId="4" fontId="28" fillId="6" borderId="55" xfId="2" applyNumberFormat="1" applyFont="1" applyFill="1" applyBorder="1" applyAlignment="1" applyProtection="1">
      <alignment horizontal="right" vertical="center" wrapText="1"/>
    </xf>
    <xf numFmtId="4" fontId="35" fillId="6" borderId="60" xfId="2" applyNumberFormat="1" applyFont="1" applyFill="1" applyBorder="1" applyAlignment="1" applyProtection="1">
      <alignment horizontal="right" vertical="center" wrapText="1"/>
    </xf>
    <xf numFmtId="9" fontId="28" fillId="6" borderId="55" xfId="2" applyFont="1" applyFill="1" applyBorder="1" applyAlignment="1" applyProtection="1">
      <alignment horizontal="right" vertical="center" wrapText="1"/>
    </xf>
    <xf numFmtId="168" fontId="25" fillId="6" borderId="67" xfId="2" applyNumberFormat="1" applyFont="1" applyFill="1" applyBorder="1" applyAlignment="1">
      <alignment horizontal="right" vertical="center"/>
    </xf>
    <xf numFmtId="4" fontId="28" fillId="6" borderId="69" xfId="2" applyNumberFormat="1" applyFont="1" applyFill="1" applyBorder="1" applyAlignment="1" applyProtection="1">
      <alignment horizontal="right" vertical="center" wrapText="1"/>
    </xf>
    <xf numFmtId="3" fontId="86" fillId="6" borderId="13" xfId="2" applyNumberFormat="1" applyFont="1" applyFill="1" applyBorder="1" applyAlignment="1">
      <alignment horizontal="right" vertical="center" wrapText="1"/>
    </xf>
    <xf numFmtId="3" fontId="52" fillId="3" borderId="0" xfId="0" applyNumberFormat="1" applyFont="1" applyFill="1" applyAlignment="1">
      <alignment horizontal="right" vertical="center" wrapText="1"/>
    </xf>
    <xf numFmtId="0" fontId="52" fillId="3" borderId="0" xfId="0" applyFont="1" applyFill="1" applyAlignment="1">
      <alignment horizontal="right" vertical="center"/>
    </xf>
    <xf numFmtId="0" fontId="28" fillId="5" borderId="54" xfId="0" applyFont="1" applyFill="1" applyBorder="1" applyAlignment="1">
      <alignment horizontal="left" vertical="center" wrapText="1"/>
    </xf>
    <xf numFmtId="0" fontId="28" fillId="5" borderId="55" xfId="0" applyFont="1" applyFill="1" applyBorder="1" applyAlignment="1">
      <alignment horizontal="center" vertical="center"/>
    </xf>
    <xf numFmtId="0" fontId="43" fillId="0" borderId="55" xfId="0" applyFont="1" applyBorder="1"/>
    <xf numFmtId="3" fontId="28" fillId="5" borderId="80" xfId="2" applyNumberFormat="1" applyFont="1" applyFill="1" applyBorder="1" applyAlignment="1">
      <alignment horizontal="right" vertical="center" wrapText="1"/>
    </xf>
    <xf numFmtId="3" fontId="28" fillId="5" borderId="81" xfId="2" applyNumberFormat="1" applyFont="1" applyFill="1" applyBorder="1" applyAlignment="1">
      <alignment horizontal="right" vertical="center" wrapText="1"/>
    </xf>
    <xf numFmtId="0" fontId="25" fillId="6" borderId="57" xfId="0" applyFont="1" applyFill="1" applyBorder="1" applyAlignment="1">
      <alignment horizontal="left" vertical="center" wrapText="1"/>
    </xf>
    <xf numFmtId="3" fontId="25" fillId="6" borderId="82" xfId="2" applyNumberFormat="1" applyFont="1" applyFill="1" applyBorder="1" applyAlignment="1">
      <alignment horizontal="right" vertical="center" wrapText="1"/>
    </xf>
    <xf numFmtId="0" fontId="25" fillId="6" borderId="57" xfId="0" applyFont="1" applyFill="1" applyBorder="1" applyAlignment="1">
      <alignment vertical="center"/>
    </xf>
    <xf numFmtId="0" fontId="25" fillId="6" borderId="59" xfId="0" applyFont="1" applyFill="1" applyBorder="1" applyAlignment="1">
      <alignment horizontal="left" vertical="center" wrapText="1"/>
    </xf>
    <xf numFmtId="0" fontId="20" fillId="6" borderId="60" xfId="0" applyFont="1" applyFill="1" applyBorder="1" applyAlignment="1">
      <alignment horizontal="center" vertical="center"/>
    </xf>
    <xf numFmtId="0" fontId="0" fillId="0" borderId="60" xfId="0" applyBorder="1"/>
    <xf numFmtId="3" fontId="25" fillId="6" borderId="83" xfId="2" applyNumberFormat="1" applyFont="1" applyFill="1" applyBorder="1" applyAlignment="1">
      <alignment horizontal="right" vertical="center" wrapText="1"/>
    </xf>
    <xf numFmtId="3" fontId="25" fillId="6" borderId="84" xfId="2" applyNumberFormat="1" applyFont="1" applyFill="1" applyBorder="1" applyAlignment="1">
      <alignment horizontal="right" vertical="center" wrapText="1"/>
    </xf>
    <xf numFmtId="3" fontId="25" fillId="6" borderId="85" xfId="2" applyNumberFormat="1" applyFont="1" applyFill="1" applyBorder="1" applyAlignment="1">
      <alignment horizontal="right" vertical="center" wrapText="1"/>
    </xf>
    <xf numFmtId="4" fontId="25" fillId="6" borderId="1" xfId="2" applyNumberFormat="1" applyFont="1" applyFill="1" applyBorder="1" applyAlignment="1">
      <alignment horizontal="right" vertical="center" wrapText="1"/>
    </xf>
    <xf numFmtId="0" fontId="0" fillId="0" borderId="55" xfId="0" applyBorder="1"/>
    <xf numFmtId="3" fontId="25" fillId="6" borderId="65" xfId="2" applyNumberFormat="1" applyFont="1" applyFill="1" applyBorder="1" applyAlignment="1">
      <alignment horizontal="right" vertical="center" wrapText="1"/>
    </xf>
    <xf numFmtId="3" fontId="25" fillId="6" borderId="66" xfId="2" applyNumberFormat="1" applyFont="1" applyFill="1" applyBorder="1" applyAlignment="1">
      <alignment horizontal="right" vertical="center" wrapText="1"/>
    </xf>
    <xf numFmtId="4" fontId="25" fillId="6" borderId="67" xfId="2" applyNumberFormat="1" applyFont="1" applyFill="1" applyBorder="1" applyAlignment="1">
      <alignment horizontal="right" vertical="center" wrapText="1"/>
    </xf>
    <xf numFmtId="4" fontId="25" fillId="6" borderId="68" xfId="2" applyNumberFormat="1" applyFont="1" applyFill="1" applyBorder="1" applyAlignment="1">
      <alignment horizontal="right" vertical="center" wrapText="1"/>
    </xf>
    <xf numFmtId="4" fontId="25" fillId="6" borderId="86" xfId="2" applyNumberFormat="1" applyFont="1" applyFill="1" applyBorder="1" applyAlignment="1">
      <alignment horizontal="right" vertical="center" wrapText="1"/>
    </xf>
    <xf numFmtId="1" fontId="43" fillId="0" borderId="10" xfId="0" applyNumberFormat="1" applyFont="1" applyBorder="1" applyAlignment="1">
      <alignment horizontal="center" vertical="center"/>
    </xf>
    <xf numFmtId="4" fontId="28" fillId="6" borderId="10" xfId="0" applyNumberFormat="1" applyFont="1" applyFill="1" applyBorder="1" applyAlignment="1">
      <alignment horizontal="center" vertical="center"/>
    </xf>
    <xf numFmtId="168" fontId="59" fillId="0" borderId="10" xfId="2" applyNumberFormat="1" applyFont="1" applyBorder="1"/>
    <xf numFmtId="0" fontId="28" fillId="6" borderId="57" xfId="0" applyFont="1" applyFill="1" applyBorder="1" applyAlignment="1">
      <alignment horizontal="left" vertical="center" wrapText="1"/>
    </xf>
    <xf numFmtId="0" fontId="28" fillId="6" borderId="54" xfId="0" applyFont="1" applyFill="1" applyBorder="1" applyAlignment="1">
      <alignment horizontal="left" vertical="center" wrapText="1"/>
    </xf>
    <xf numFmtId="0" fontId="20" fillId="6" borderId="55" xfId="0" applyFont="1" applyFill="1" applyBorder="1" applyAlignment="1">
      <alignment horizontal="center" vertical="center"/>
    </xf>
    <xf numFmtId="0" fontId="28" fillId="6" borderId="59" xfId="0" applyFont="1" applyFill="1" applyBorder="1" applyAlignment="1">
      <alignment horizontal="left" vertical="center" wrapText="1"/>
    </xf>
    <xf numFmtId="4" fontId="72" fillId="6" borderId="13" xfId="2" applyNumberFormat="1" applyFont="1" applyFill="1" applyBorder="1" applyAlignment="1" applyProtection="1">
      <alignment horizontal="right" vertical="center"/>
      <protection locked="0"/>
    </xf>
    <xf numFmtId="182" fontId="55" fillId="0" borderId="0" xfId="0" applyNumberFormat="1" applyFont="1"/>
    <xf numFmtId="173" fontId="67" fillId="5" borderId="13" xfId="2" applyNumberFormat="1" applyFont="1" applyFill="1" applyBorder="1" applyAlignment="1" applyProtection="1">
      <alignment horizontal="right" vertical="center"/>
    </xf>
    <xf numFmtId="173" fontId="55" fillId="0" borderId="0" xfId="0" applyNumberFormat="1" applyFont="1"/>
    <xf numFmtId="4" fontId="55" fillId="0" borderId="0" xfId="0" applyNumberFormat="1" applyFont="1"/>
    <xf numFmtId="9" fontId="55" fillId="0" borderId="0" xfId="2" applyFont="1"/>
    <xf numFmtId="3" fontId="43" fillId="0" borderId="1" xfId="0" applyNumberFormat="1" applyFont="1" applyBorder="1" applyAlignment="1">
      <alignment horizontal="center"/>
    </xf>
    <xf numFmtId="0" fontId="58" fillId="0" borderId="0" xfId="0" applyFont="1" applyAlignment="1">
      <alignment horizontal="center" vertical="center" wrapText="1"/>
    </xf>
    <xf numFmtId="4" fontId="0" fillId="0" borderId="2" xfId="0" applyNumberFormat="1" applyBorder="1" applyAlignment="1">
      <alignment horizontal="center" vertical="center" wrapText="1"/>
    </xf>
    <xf numFmtId="179" fontId="49" fillId="0" borderId="1" xfId="0" applyNumberFormat="1" applyFont="1" applyBorder="1" applyAlignment="1">
      <alignment horizontal="center" vertical="center"/>
    </xf>
    <xf numFmtId="2" fontId="49" fillId="0" borderId="1" xfId="0" applyNumberFormat="1" applyFont="1" applyBorder="1" applyAlignment="1">
      <alignment horizontal="center" vertical="center"/>
    </xf>
    <xf numFmtId="165" fontId="19" fillId="0" borderId="6" xfId="0" applyNumberFormat="1" applyFont="1" applyBorder="1" applyAlignment="1">
      <alignment horizontal="right" vertical="center"/>
    </xf>
    <xf numFmtId="9" fontId="28" fillId="3" borderId="1" xfId="2" applyFont="1" applyFill="1" applyBorder="1" applyAlignment="1" applyProtection="1">
      <alignment horizontal="right" vertical="center" wrapText="1"/>
      <protection locked="0"/>
    </xf>
    <xf numFmtId="3" fontId="28" fillId="4" borderId="91" xfId="2" applyNumberFormat="1" applyFont="1" applyFill="1" applyBorder="1" applyAlignment="1" applyProtection="1">
      <alignment horizontal="right" vertical="center" wrapText="1"/>
      <protection locked="0"/>
    </xf>
    <xf numFmtId="3" fontId="25" fillId="4" borderId="0" xfId="2" applyNumberFormat="1" applyFont="1" applyFill="1" applyAlignment="1" applyProtection="1">
      <alignment horizontal="right" vertical="center" wrapText="1"/>
      <protection locked="0"/>
    </xf>
    <xf numFmtId="169" fontId="28" fillId="4" borderId="0" xfId="2" applyNumberFormat="1" applyFont="1" applyFill="1" applyAlignment="1" applyProtection="1">
      <alignment horizontal="right" vertical="center" wrapText="1"/>
      <protection locked="0"/>
    </xf>
    <xf numFmtId="10" fontId="28" fillId="4" borderId="0" xfId="2" applyNumberFormat="1" applyFont="1" applyFill="1" applyAlignment="1" applyProtection="1">
      <alignment horizontal="right" vertical="center" wrapText="1"/>
      <protection locked="0"/>
    </xf>
    <xf numFmtId="0" fontId="26" fillId="4" borderId="71" xfId="0" applyFont="1" applyFill="1" applyBorder="1" applyAlignment="1">
      <alignment horizontal="left" vertical="center"/>
    </xf>
    <xf numFmtId="3" fontId="26" fillId="4" borderId="0" xfId="2" applyNumberFormat="1" applyFont="1" applyFill="1" applyAlignment="1">
      <alignment horizontal="right" vertical="center" wrapText="1"/>
    </xf>
    <xf numFmtId="10" fontId="26" fillId="4" borderId="0" xfId="2" applyNumberFormat="1" applyFont="1" applyFill="1" applyAlignment="1">
      <alignment horizontal="right" vertical="center" wrapText="1"/>
    </xf>
    <xf numFmtId="10" fontId="28" fillId="4" borderId="0" xfId="2" applyNumberFormat="1" applyFont="1" applyFill="1" applyAlignment="1">
      <alignment horizontal="right" vertical="center" wrapText="1"/>
    </xf>
    <xf numFmtId="9" fontId="28" fillId="4" borderId="0" xfId="2" applyFont="1" applyFill="1" applyAlignment="1" applyProtection="1">
      <alignment horizontal="right" vertical="center" wrapText="1"/>
      <protection locked="0"/>
    </xf>
    <xf numFmtId="9" fontId="25" fillId="4" borderId="0" xfId="2" applyFont="1" applyFill="1" applyAlignment="1">
      <alignment horizontal="right" vertical="center" wrapText="1"/>
    </xf>
    <xf numFmtId="0" fontId="0" fillId="0" borderId="74" xfId="0" applyBorder="1"/>
    <xf numFmtId="3" fontId="28" fillId="6" borderId="1" xfId="2" applyNumberFormat="1" applyFont="1" applyFill="1" applyBorder="1" applyAlignment="1" applyProtection="1">
      <alignment horizontal="right" vertical="center" wrapText="1"/>
      <protection locked="0"/>
    </xf>
    <xf numFmtId="3" fontId="25" fillId="6" borderId="1" xfId="2" applyNumberFormat="1" applyFont="1" applyFill="1" applyBorder="1" applyAlignment="1" applyProtection="1">
      <alignment horizontal="right" vertical="center" wrapText="1"/>
      <protection locked="0"/>
    </xf>
    <xf numFmtId="3" fontId="28" fillId="6" borderId="90" xfId="2" applyNumberFormat="1" applyFont="1" applyFill="1" applyBorder="1" applyAlignment="1" applyProtection="1">
      <alignment horizontal="right" vertical="center" wrapText="1"/>
      <protection locked="0"/>
    </xf>
    <xf numFmtId="3" fontId="25" fillId="6" borderId="90" xfId="2" applyNumberFormat="1" applyFont="1" applyFill="1" applyBorder="1" applyAlignment="1" applyProtection="1">
      <alignment horizontal="right" vertical="center" wrapText="1"/>
      <protection locked="0"/>
    </xf>
    <xf numFmtId="169" fontId="28" fillId="6" borderId="90" xfId="2" applyNumberFormat="1" applyFont="1" applyFill="1" applyBorder="1" applyAlignment="1" applyProtection="1">
      <alignment horizontal="right" vertical="center" wrapText="1"/>
      <protection locked="0"/>
    </xf>
    <xf numFmtId="4" fontId="28" fillId="6" borderId="90" xfId="2" applyNumberFormat="1" applyFont="1" applyFill="1" applyBorder="1" applyAlignment="1" applyProtection="1">
      <alignment horizontal="right" vertical="center" wrapText="1"/>
      <protection locked="0"/>
    </xf>
    <xf numFmtId="9" fontId="25" fillId="6" borderId="1" xfId="2" applyFont="1" applyFill="1" applyBorder="1" applyAlignment="1" applyProtection="1">
      <alignment horizontal="right" vertical="center" wrapText="1"/>
      <protection locked="0"/>
    </xf>
    <xf numFmtId="9" fontId="28" fillId="6" borderId="1" xfId="2" applyFont="1" applyFill="1" applyBorder="1" applyAlignment="1" applyProtection="1">
      <alignment horizontal="right" vertical="center" wrapText="1"/>
      <protection locked="0"/>
    </xf>
    <xf numFmtId="9" fontId="28" fillId="6" borderId="92" xfId="2" applyFont="1" applyFill="1" applyBorder="1" applyAlignment="1" applyProtection="1">
      <alignment horizontal="right" vertical="center" wrapText="1"/>
      <protection locked="0"/>
    </xf>
    <xf numFmtId="9" fontId="28" fillId="6" borderId="90" xfId="2" applyFont="1" applyFill="1" applyBorder="1" applyAlignment="1" applyProtection="1">
      <alignment horizontal="right" vertical="center" wrapText="1"/>
      <protection locked="0"/>
    </xf>
    <xf numFmtId="0" fontId="2" fillId="0" borderId="0" xfId="0" applyFont="1"/>
    <xf numFmtId="3" fontId="25" fillId="4" borderId="72" xfId="2" applyNumberFormat="1" applyFont="1" applyFill="1" applyBorder="1" applyAlignment="1" applyProtection="1">
      <alignment horizontal="right" vertical="center" wrapText="1"/>
      <protection locked="0"/>
    </xf>
    <xf numFmtId="169" fontId="28" fillId="4" borderId="72" xfId="2" applyNumberFormat="1" applyFont="1" applyFill="1" applyBorder="1" applyAlignment="1" applyProtection="1">
      <alignment horizontal="right" vertical="center" wrapText="1"/>
      <protection locked="0"/>
    </xf>
    <xf numFmtId="10" fontId="28" fillId="4" borderId="89" xfId="2" applyNumberFormat="1" applyFont="1" applyFill="1" applyBorder="1" applyAlignment="1" applyProtection="1">
      <alignment horizontal="right" vertical="center" wrapText="1"/>
      <protection locked="0"/>
    </xf>
    <xf numFmtId="0" fontId="19" fillId="5" borderId="5" xfId="0" applyFont="1" applyFill="1" applyBorder="1" applyAlignment="1">
      <alignment horizontal="left" vertical="center"/>
    </xf>
    <xf numFmtId="0" fontId="19" fillId="5" borderId="71" xfId="0" applyFont="1" applyFill="1" applyBorder="1" applyAlignment="1">
      <alignment horizontal="left" vertical="center"/>
    </xf>
    <xf numFmtId="0" fontId="25" fillId="4" borderId="0" xfId="2" applyNumberFormat="1" applyFont="1" applyFill="1" applyAlignment="1" applyProtection="1">
      <alignment horizontal="right" vertical="center" wrapText="1"/>
      <protection locked="0"/>
    </xf>
    <xf numFmtId="167" fontId="25" fillId="4" borderId="0" xfId="1" applyNumberFormat="1" applyFont="1" applyFill="1" applyBorder="1" applyAlignment="1">
      <alignment vertical="center"/>
    </xf>
    <xf numFmtId="3" fontId="28" fillId="4" borderId="93" xfId="2" applyNumberFormat="1" applyFont="1" applyFill="1" applyBorder="1" applyAlignment="1" applyProtection="1">
      <alignment horizontal="right" vertical="center" wrapText="1"/>
      <protection locked="0"/>
    </xf>
    <xf numFmtId="3" fontId="28" fillId="4" borderId="0" xfId="2" applyNumberFormat="1" applyFont="1" applyFill="1" applyBorder="1" applyAlignment="1" applyProtection="1">
      <alignment horizontal="right" vertical="center" wrapText="1"/>
      <protection locked="0"/>
    </xf>
    <xf numFmtId="3" fontId="28" fillId="4" borderId="72" xfId="2" applyNumberFormat="1" applyFont="1" applyFill="1" applyBorder="1" applyAlignment="1" applyProtection="1">
      <alignment horizontal="right" vertical="center" wrapText="1"/>
      <protection locked="0"/>
    </xf>
    <xf numFmtId="3" fontId="25" fillId="4" borderId="0" xfId="2" applyNumberFormat="1" applyFont="1" applyFill="1" applyBorder="1" applyAlignment="1" applyProtection="1">
      <alignment horizontal="right" vertical="center" wrapText="1"/>
      <protection locked="0"/>
    </xf>
    <xf numFmtId="169" fontId="28" fillId="4" borderId="0" xfId="2" applyNumberFormat="1" applyFont="1" applyFill="1" applyBorder="1" applyAlignment="1" applyProtection="1">
      <alignment horizontal="right" vertical="center" wrapText="1"/>
      <protection locked="0"/>
    </xf>
    <xf numFmtId="10" fontId="28" fillId="4" borderId="74" xfId="2" applyNumberFormat="1" applyFont="1" applyFill="1" applyBorder="1" applyAlignment="1" applyProtection="1">
      <alignment horizontal="right" vertical="center" wrapText="1"/>
      <protection locked="0"/>
    </xf>
    <xf numFmtId="0" fontId="19" fillId="5" borderId="0" xfId="0" applyFont="1" applyFill="1" applyAlignment="1">
      <alignment horizontal="left" vertical="center" wrapText="1"/>
    </xf>
    <xf numFmtId="0" fontId="80" fillId="4" borderId="0" xfId="0" applyFont="1" applyFill="1"/>
    <xf numFmtId="0" fontId="25" fillId="3" borderId="0" xfId="0" applyFont="1" applyFill="1" applyAlignment="1">
      <alignment horizontal="left" vertical="center" wrapText="1"/>
    </xf>
    <xf numFmtId="0" fontId="25" fillId="3" borderId="0" xfId="0" applyFont="1" applyFill="1" applyAlignment="1">
      <alignment horizontal="left" vertical="center"/>
    </xf>
    <xf numFmtId="0" fontId="28" fillId="2" borderId="0" xfId="0" applyFont="1" applyFill="1" applyAlignment="1">
      <alignment horizontal="center" vertical="center" wrapText="1"/>
    </xf>
    <xf numFmtId="0" fontId="25" fillId="2" borderId="0" xfId="0" applyFont="1" applyFill="1" applyAlignment="1">
      <alignment horizontal="left" vertical="center"/>
    </xf>
    <xf numFmtId="0" fontId="28" fillId="10" borderId="0" xfId="0" applyFont="1" applyFill="1" applyAlignment="1">
      <alignment horizontal="left"/>
    </xf>
    <xf numFmtId="2" fontId="35" fillId="10" borderId="0" xfId="0" applyNumberFormat="1" applyFont="1" applyFill="1" applyAlignment="1">
      <alignment horizontal="left"/>
    </xf>
    <xf numFmtId="2" fontId="28" fillId="10" borderId="0" xfId="0" applyNumberFormat="1" applyFont="1" applyFill="1" applyAlignment="1">
      <alignment horizontal="left"/>
    </xf>
    <xf numFmtId="0" fontId="28" fillId="10" borderId="0" xfId="0" applyFont="1" applyFill="1" applyAlignment="1">
      <alignment horizontal="center" vertical="center" wrapText="1"/>
    </xf>
    <xf numFmtId="2" fontId="28" fillId="10" borderId="0" xfId="0" applyNumberFormat="1" applyFont="1" applyFill="1" applyAlignment="1">
      <alignment horizontal="center" vertical="center" wrapText="1"/>
    </xf>
    <xf numFmtId="0" fontId="0" fillId="10" borderId="0" xfId="0" applyFill="1" applyAlignment="1">
      <alignment horizontal="center" vertical="center" wrapText="1"/>
    </xf>
    <xf numFmtId="0" fontId="26" fillId="6" borderId="27" xfId="0" applyFont="1" applyFill="1" applyBorder="1" applyAlignment="1">
      <alignment horizontal="right" vertical="center"/>
    </xf>
    <xf numFmtId="165" fontId="18" fillId="8" borderId="13" xfId="0" applyNumberFormat="1" applyFont="1" applyFill="1" applyBorder="1" applyAlignment="1">
      <alignment horizontal="center" vertical="center"/>
    </xf>
    <xf numFmtId="3" fontId="84" fillId="0" borderId="0" xfId="4" applyNumberFormat="1" applyFont="1" applyAlignment="1">
      <alignment horizontal="center"/>
    </xf>
    <xf numFmtId="0" fontId="25" fillId="5" borderId="0" xfId="0" applyFont="1" applyFill="1" applyAlignment="1">
      <alignment horizontal="left" vertical="center" wrapText="1"/>
    </xf>
    <xf numFmtId="0" fontId="25" fillId="6" borderId="0" xfId="0" applyFont="1" applyFill="1" applyAlignment="1">
      <alignment horizontal="left" vertical="center" wrapText="1"/>
    </xf>
    <xf numFmtId="0" fontId="26" fillId="6" borderId="0" xfId="0" applyFont="1" applyFill="1" applyAlignment="1">
      <alignment horizontal="right" vertical="center" wrapText="1"/>
    </xf>
    <xf numFmtId="0" fontId="26" fillId="6" borderId="0" xfId="0" applyFont="1" applyFill="1" applyAlignment="1">
      <alignment horizontal="right"/>
    </xf>
    <xf numFmtId="0" fontId="26" fillId="6" borderId="0" xfId="0" applyFont="1" applyFill="1" applyAlignment="1">
      <alignment horizontal="left"/>
    </xf>
    <xf numFmtId="0" fontId="19" fillId="6" borderId="0" xfId="0" applyFont="1" applyFill="1" applyAlignment="1">
      <alignment horizontal="left" vertical="center" wrapText="1"/>
    </xf>
    <xf numFmtId="0" fontId="42" fillId="6" borderId="0" xfId="0" applyFont="1" applyFill="1" applyAlignment="1">
      <alignment horizontal="right" vertical="center" wrapText="1"/>
    </xf>
    <xf numFmtId="0" fontId="66" fillId="6" borderId="0" xfId="0" applyFont="1" applyFill="1" applyAlignment="1">
      <alignment vertical="center"/>
    </xf>
    <xf numFmtId="0" fontId="19" fillId="6" borderId="0" xfId="0" applyFont="1" applyFill="1" applyAlignment="1">
      <alignment vertical="center"/>
    </xf>
    <xf numFmtId="0" fontId="40" fillId="6" borderId="100" xfId="0" applyFont="1" applyFill="1" applyBorder="1" applyAlignment="1">
      <alignment horizontal="right" vertical="center"/>
    </xf>
    <xf numFmtId="0" fontId="40" fillId="6" borderId="0" xfId="0" applyFont="1" applyFill="1" applyAlignment="1">
      <alignment horizontal="center" vertical="center"/>
    </xf>
    <xf numFmtId="0" fontId="25" fillId="6" borderId="100" xfId="0" applyFont="1" applyFill="1" applyBorder="1" applyAlignment="1">
      <alignment vertical="center"/>
    </xf>
    <xf numFmtId="0" fontId="19" fillId="5" borderId="100" xfId="0" applyFont="1" applyFill="1" applyBorder="1" applyAlignment="1">
      <alignment horizontal="left" vertical="center"/>
    </xf>
    <xf numFmtId="0" fontId="25" fillId="6" borderId="101" xfId="0" applyFont="1" applyFill="1" applyBorder="1" applyAlignment="1">
      <alignment vertical="center"/>
    </xf>
    <xf numFmtId="0" fontId="20" fillId="6" borderId="102" xfId="0" applyFont="1" applyFill="1" applyBorder="1" applyAlignment="1">
      <alignment horizontal="center" vertical="center"/>
    </xf>
    <xf numFmtId="0" fontId="19" fillId="5" borderId="103" xfId="0" applyFont="1" applyFill="1" applyBorder="1" applyAlignment="1">
      <alignment horizontal="left" vertical="center"/>
    </xf>
    <xf numFmtId="0" fontId="25" fillId="6" borderId="73" xfId="0" applyFont="1" applyFill="1" applyBorder="1" applyAlignment="1">
      <alignment vertical="center"/>
    </xf>
    <xf numFmtId="0" fontId="19" fillId="5" borderId="6" xfId="0" applyFont="1" applyFill="1" applyBorder="1" applyAlignment="1">
      <alignment horizontal="left" vertical="center"/>
    </xf>
    <xf numFmtId="0" fontId="28" fillId="6" borderId="71" xfId="0" applyFont="1" applyFill="1" applyBorder="1" applyAlignment="1">
      <alignment horizontal="left" vertical="center"/>
    </xf>
    <xf numFmtId="0" fontId="25" fillId="6" borderId="71" xfId="0" applyFont="1" applyFill="1" applyBorder="1" applyAlignment="1">
      <alignment horizontal="left" vertical="center"/>
    </xf>
    <xf numFmtId="0" fontId="25" fillId="6" borderId="71" xfId="0" applyFont="1" applyFill="1" applyBorder="1" applyAlignment="1">
      <alignment horizontal="right" vertical="center"/>
    </xf>
    <xf numFmtId="0" fontId="28" fillId="6" borderId="73" xfId="0" applyFont="1" applyFill="1" applyBorder="1" applyAlignment="1">
      <alignment horizontal="left" vertical="center"/>
    </xf>
    <xf numFmtId="0" fontId="25" fillId="6" borderId="0" xfId="0" applyFont="1" applyFill="1" applyAlignment="1">
      <alignment vertical="center" wrapText="1"/>
    </xf>
    <xf numFmtId="0" fontId="26" fillId="4" borderId="71" xfId="0" applyFont="1" applyFill="1" applyBorder="1" applyAlignment="1">
      <alignment vertical="center"/>
    </xf>
    <xf numFmtId="0" fontId="44" fillId="0" borderId="0" xfId="0" applyFont="1" applyAlignment="1">
      <alignment horizontal="center" vertical="center" wrapText="1"/>
    </xf>
    <xf numFmtId="0" fontId="27" fillId="4" borderId="0" xfId="3" applyFont="1" applyFill="1" applyAlignment="1">
      <alignment horizontal="left" vertical="center" wrapText="1"/>
    </xf>
    <xf numFmtId="0" fontId="24" fillId="4" borderId="0" xfId="3" applyFont="1" applyFill="1" applyAlignment="1">
      <alignment horizontal="left" vertical="center" wrapText="1"/>
    </xf>
    <xf numFmtId="0" fontId="92" fillId="10" borderId="0" xfId="0" applyFont="1" applyFill="1" applyAlignment="1">
      <alignment horizontal="left" vertical="center" wrapText="1"/>
    </xf>
    <xf numFmtId="0" fontId="26" fillId="6" borderId="0" xfId="0" applyFont="1" applyFill="1" applyAlignment="1">
      <alignment horizontal="right" vertical="center" wrapText="1"/>
    </xf>
    <xf numFmtId="165" fontId="89" fillId="5" borderId="6" xfId="0" applyNumberFormat="1" applyFont="1" applyFill="1" applyBorder="1" applyAlignment="1">
      <alignment horizontal="center" vertical="center" wrapText="1"/>
    </xf>
    <xf numFmtId="165" fontId="88" fillId="5" borderId="6" xfId="0" applyNumberFormat="1" applyFont="1" applyFill="1" applyBorder="1" applyAlignment="1">
      <alignment horizontal="center" vertical="center" wrapText="1"/>
    </xf>
    <xf numFmtId="165" fontId="88" fillId="5" borderId="74" xfId="0" applyNumberFormat="1" applyFont="1" applyFill="1" applyBorder="1" applyAlignment="1">
      <alignment horizontal="center" vertical="center" wrapText="1"/>
    </xf>
    <xf numFmtId="165" fontId="76" fillId="8" borderId="21" xfId="0" applyNumberFormat="1" applyFont="1" applyFill="1" applyBorder="1" applyAlignment="1">
      <alignment horizontal="center" vertical="center"/>
    </xf>
    <xf numFmtId="165" fontId="76" fillId="8" borderId="22" xfId="0" applyNumberFormat="1" applyFont="1" applyFill="1" applyBorder="1" applyAlignment="1">
      <alignment horizontal="center" vertical="center"/>
    </xf>
    <xf numFmtId="165" fontId="79" fillId="5" borderId="2" xfId="0" applyNumberFormat="1" applyFont="1" applyFill="1" applyBorder="1" applyAlignment="1">
      <alignment horizontal="center" vertical="center"/>
    </xf>
    <xf numFmtId="165" fontId="79" fillId="5" borderId="4" xfId="0" applyNumberFormat="1" applyFont="1" applyFill="1" applyBorder="1" applyAlignment="1">
      <alignment horizontal="center" vertical="center"/>
    </xf>
    <xf numFmtId="3" fontId="25" fillId="6" borderId="93" xfId="2" applyNumberFormat="1" applyFont="1" applyFill="1" applyBorder="1" applyAlignment="1" applyProtection="1">
      <alignment horizontal="center" vertical="center" wrapText="1"/>
      <protection locked="0"/>
    </xf>
    <xf numFmtId="3" fontId="25" fillId="6" borderId="94" xfId="2" applyNumberFormat="1" applyFont="1" applyFill="1" applyBorder="1" applyAlignment="1" applyProtection="1">
      <alignment horizontal="center" vertical="center" wrapText="1"/>
      <protection locked="0"/>
    </xf>
    <xf numFmtId="3" fontId="25" fillId="6" borderId="95" xfId="2" applyNumberFormat="1" applyFont="1" applyFill="1" applyBorder="1" applyAlignment="1" applyProtection="1">
      <alignment horizontal="center" vertical="center" wrapText="1"/>
      <protection locked="0"/>
    </xf>
    <xf numFmtId="0" fontId="59" fillId="0" borderId="87" xfId="0" applyFont="1" applyBorder="1" applyAlignment="1">
      <alignment horizontal="right"/>
    </xf>
    <xf numFmtId="0" fontId="59" fillId="0" borderId="88" xfId="0" applyFont="1" applyBorder="1" applyAlignment="1">
      <alignment horizontal="right"/>
    </xf>
    <xf numFmtId="0" fontId="59" fillId="0" borderId="11" xfId="0" applyFont="1" applyBorder="1" applyAlignment="1">
      <alignment horizontal="right"/>
    </xf>
    <xf numFmtId="0" fontId="28" fillId="6" borderId="87" xfId="0" applyFont="1" applyFill="1" applyBorder="1" applyAlignment="1">
      <alignment horizontal="right" vertical="center"/>
    </xf>
    <xf numFmtId="0" fontId="28" fillId="6" borderId="88" xfId="0" applyFont="1" applyFill="1" applyBorder="1" applyAlignment="1">
      <alignment horizontal="right" vertical="center"/>
    </xf>
    <xf numFmtId="0" fontId="28" fillId="6" borderId="11" xfId="0" applyFont="1" applyFill="1" applyBorder="1" applyAlignment="1">
      <alignment horizontal="right" vertical="center"/>
    </xf>
    <xf numFmtId="0" fontId="0" fillId="0" borderId="87" xfId="0" applyBorder="1" applyAlignment="1">
      <alignment horizontal="center"/>
    </xf>
    <xf numFmtId="0" fontId="0" fillId="0" borderId="88" xfId="0" applyBorder="1" applyAlignment="1">
      <alignment horizontal="center"/>
    </xf>
    <xf numFmtId="0" fontId="0" fillId="0" borderId="11" xfId="0" applyBorder="1" applyAlignment="1">
      <alignment horizontal="center"/>
    </xf>
    <xf numFmtId="0" fontId="50" fillId="8" borderId="0" xfId="0" applyFont="1" applyFill="1" applyAlignment="1">
      <alignment horizontal="center" vertical="center"/>
    </xf>
    <xf numFmtId="165" fontId="68" fillId="5" borderId="15" xfId="0" applyNumberFormat="1" applyFont="1" applyFill="1" applyBorder="1" applyAlignment="1">
      <alignment horizontal="center" vertical="center" wrapText="1"/>
    </xf>
    <xf numFmtId="0" fontId="87" fillId="10" borderId="0" xfId="0" applyFont="1" applyFill="1" applyAlignment="1">
      <alignment horizontal="left" vertical="center" wrapText="1"/>
    </xf>
    <xf numFmtId="168" fontId="28" fillId="6" borderId="60" xfId="2" applyNumberFormat="1" applyFont="1" applyFill="1" applyBorder="1" applyAlignment="1" applyProtection="1">
      <alignment horizontal="right" vertical="center" wrapText="1"/>
    </xf>
    <xf numFmtId="3" fontId="18" fillId="4" borderId="0" xfId="0" applyNumberFormat="1" applyFont="1" applyFill="1" applyAlignment="1">
      <alignment horizontal="center" vertical="center" wrapText="1"/>
    </xf>
    <xf numFmtId="3" fontId="84" fillId="0" borderId="0" xfId="4" applyNumberFormat="1" applyFont="1" applyAlignment="1">
      <alignment horizontal="center"/>
    </xf>
    <xf numFmtId="0" fontId="68" fillId="5" borderId="65" xfId="0" applyFont="1" applyFill="1" applyBorder="1" applyAlignment="1">
      <alignment horizontal="center" vertical="center"/>
    </xf>
    <xf numFmtId="0" fontId="68" fillId="5" borderId="66" xfId="0" applyFont="1" applyFill="1" applyBorder="1" applyAlignment="1">
      <alignment horizontal="center" vertical="center"/>
    </xf>
    <xf numFmtId="165" fontId="68" fillId="5" borderId="65" xfId="0" applyNumberFormat="1" applyFont="1" applyFill="1" applyBorder="1" applyAlignment="1">
      <alignment horizontal="center" vertical="center" wrapText="1"/>
    </xf>
    <xf numFmtId="0" fontId="19" fillId="5" borderId="0" xfId="0" applyFont="1" applyFill="1" applyAlignment="1">
      <alignment horizontal="left" vertical="center" wrapText="1"/>
    </xf>
    <xf numFmtId="165" fontId="18" fillId="8" borderId="40" xfId="0" applyNumberFormat="1" applyFont="1" applyFill="1" applyBorder="1" applyAlignment="1">
      <alignment horizontal="center" vertical="center"/>
    </xf>
    <xf numFmtId="165" fontId="18" fillId="8" borderId="41" xfId="0" applyNumberFormat="1" applyFont="1" applyFill="1" applyBorder="1" applyAlignment="1">
      <alignment horizontal="center" vertical="center"/>
    </xf>
    <xf numFmtId="165" fontId="18" fillId="8" borderId="42" xfId="0" applyNumberFormat="1" applyFont="1" applyFill="1" applyBorder="1" applyAlignment="1">
      <alignment horizontal="center" vertical="center"/>
    </xf>
    <xf numFmtId="165" fontId="25" fillId="10" borderId="35" xfId="0" applyNumberFormat="1" applyFont="1" applyFill="1" applyBorder="1" applyAlignment="1">
      <alignment horizontal="center" vertical="center" wrapText="1"/>
    </xf>
    <xf numFmtId="165" fontId="25" fillId="10" borderId="26" xfId="0" applyNumberFormat="1" applyFont="1" applyFill="1" applyBorder="1" applyAlignment="1">
      <alignment horizontal="center" vertical="center" wrapText="1"/>
    </xf>
    <xf numFmtId="165" fontId="28" fillId="10" borderId="97" xfId="0" applyNumberFormat="1" applyFont="1" applyFill="1" applyBorder="1" applyAlignment="1">
      <alignment horizontal="center" vertical="center" wrapText="1"/>
    </xf>
    <xf numFmtId="165" fontId="28" fillId="10" borderId="15" xfId="0" applyNumberFormat="1" applyFont="1" applyFill="1" applyBorder="1" applyAlignment="1">
      <alignment horizontal="center" vertical="center" wrapText="1"/>
    </xf>
    <xf numFmtId="165" fontId="28" fillId="10" borderId="98" xfId="0" applyNumberFormat="1" applyFont="1" applyFill="1" applyBorder="1" applyAlignment="1">
      <alignment horizontal="center" vertical="center" wrapText="1"/>
    </xf>
    <xf numFmtId="165" fontId="18" fillId="8" borderId="43" xfId="0" applyNumberFormat="1" applyFont="1" applyFill="1" applyBorder="1" applyAlignment="1">
      <alignment horizontal="center" vertical="center"/>
    </xf>
    <xf numFmtId="165" fontId="18" fillId="8" borderId="0" xfId="0" applyNumberFormat="1" applyFont="1" applyFill="1" applyAlignment="1">
      <alignment horizontal="center" vertical="center"/>
    </xf>
    <xf numFmtId="165" fontId="18" fillId="8" borderId="51" xfId="0" applyNumberFormat="1" applyFont="1" applyFill="1" applyBorder="1" applyAlignment="1">
      <alignment horizontal="center" vertical="center"/>
    </xf>
    <xf numFmtId="165" fontId="25" fillId="10" borderId="99" xfId="0" applyNumberFormat="1" applyFont="1" applyFill="1" applyBorder="1" applyAlignment="1">
      <alignment horizontal="center" vertical="center" wrapText="1"/>
    </xf>
    <xf numFmtId="165" fontId="25" fillId="10" borderId="23" xfId="0" applyNumberFormat="1" applyFont="1" applyFill="1" applyBorder="1" applyAlignment="1">
      <alignment horizontal="center" vertical="center" wrapText="1"/>
    </xf>
    <xf numFmtId="165" fontId="25" fillId="10" borderId="33" xfId="0" applyNumberFormat="1" applyFont="1" applyFill="1" applyBorder="1" applyAlignment="1">
      <alignment horizontal="center" vertical="center" wrapText="1"/>
    </xf>
    <xf numFmtId="165" fontId="25" fillId="10" borderId="17" xfId="0" applyNumberFormat="1" applyFont="1" applyFill="1" applyBorder="1" applyAlignment="1">
      <alignment horizontal="center" vertical="center" wrapText="1"/>
    </xf>
    <xf numFmtId="165" fontId="25" fillId="10" borderId="23" xfId="0" applyNumberFormat="1" applyFont="1" applyFill="1" applyBorder="1" applyAlignment="1">
      <alignment horizontal="center" vertical="center"/>
    </xf>
    <xf numFmtId="165" fontId="25" fillId="10" borderId="33" xfId="0" applyNumberFormat="1" applyFont="1" applyFill="1" applyBorder="1" applyAlignment="1">
      <alignment horizontal="center" vertical="center"/>
    </xf>
    <xf numFmtId="165" fontId="25" fillId="10" borderId="17" xfId="0" applyNumberFormat="1" applyFont="1" applyFill="1" applyBorder="1" applyAlignment="1">
      <alignment horizontal="center" vertical="center"/>
    </xf>
    <xf numFmtId="0" fontId="28" fillId="10" borderId="0" xfId="0" applyFont="1" applyFill="1" applyAlignment="1">
      <alignment horizontal="left"/>
    </xf>
    <xf numFmtId="0" fontId="75" fillId="8" borderId="0" xfId="0" applyFont="1" applyFill="1" applyAlignment="1">
      <alignment horizontal="left" vertical="center"/>
    </xf>
    <xf numFmtId="165" fontId="25" fillId="10" borderId="96" xfId="0" applyNumberFormat="1" applyFont="1" applyFill="1" applyBorder="1" applyAlignment="1">
      <alignment horizontal="left" vertical="center" wrapText="1"/>
    </xf>
    <xf numFmtId="165" fontId="25" fillId="10" borderId="0" xfId="0" applyNumberFormat="1" applyFont="1" applyFill="1" applyAlignment="1">
      <alignment horizontal="center" vertical="center" wrapText="1"/>
    </xf>
    <xf numFmtId="165" fontId="28" fillId="10" borderId="23" xfId="0" applyNumberFormat="1" applyFont="1" applyFill="1" applyBorder="1" applyAlignment="1">
      <alignment horizontal="center" vertical="center" wrapText="1"/>
    </xf>
    <xf numFmtId="165" fontId="28" fillId="10" borderId="33" xfId="0" applyNumberFormat="1" applyFont="1" applyFill="1" applyBorder="1" applyAlignment="1">
      <alignment horizontal="center" vertical="center" wrapText="1"/>
    </xf>
    <xf numFmtId="165" fontId="28" fillId="10" borderId="17" xfId="0" applyNumberFormat="1" applyFont="1" applyFill="1" applyBorder="1" applyAlignment="1">
      <alignment horizontal="center" vertical="center" wrapText="1"/>
    </xf>
    <xf numFmtId="3" fontId="28" fillId="10" borderId="23" xfId="0" applyNumberFormat="1" applyFont="1" applyFill="1" applyBorder="1" applyAlignment="1">
      <alignment horizontal="center" vertical="center" wrapText="1"/>
    </xf>
    <xf numFmtId="3" fontId="28" fillId="10" borderId="33" xfId="0" applyNumberFormat="1" applyFont="1" applyFill="1" applyBorder="1" applyAlignment="1">
      <alignment horizontal="center" vertical="center" wrapText="1"/>
    </xf>
    <xf numFmtId="3" fontId="28" fillId="10" borderId="17" xfId="0" applyNumberFormat="1" applyFont="1" applyFill="1" applyBorder="1" applyAlignment="1">
      <alignment horizontal="center" vertical="center" wrapText="1"/>
    </xf>
    <xf numFmtId="165" fontId="25" fillId="10" borderId="0" xfId="0" applyNumberFormat="1" applyFont="1" applyFill="1" applyAlignment="1">
      <alignment horizontal="left" vertical="center" wrapText="1"/>
    </xf>
    <xf numFmtId="165" fontId="28" fillId="10" borderId="36" xfId="0" applyNumberFormat="1" applyFont="1" applyFill="1" applyBorder="1" applyAlignment="1">
      <alignment horizontal="center" vertical="center" wrapText="1"/>
    </xf>
    <xf numFmtId="165" fontId="28" fillId="10" borderId="18" xfId="0" applyNumberFormat="1" applyFont="1" applyFill="1" applyBorder="1" applyAlignment="1">
      <alignment horizontal="center" vertical="center" wrapText="1"/>
    </xf>
    <xf numFmtId="165" fontId="28" fillId="10" borderId="35" xfId="0" applyNumberFormat="1" applyFont="1" applyFill="1" applyBorder="1" applyAlignment="1">
      <alignment horizontal="center" vertical="center" wrapText="1"/>
    </xf>
    <xf numFmtId="165" fontId="28" fillId="10" borderId="16" xfId="0" applyNumberFormat="1" applyFont="1" applyFill="1" applyBorder="1" applyAlignment="1">
      <alignment horizontal="center" vertical="center" wrapText="1"/>
    </xf>
    <xf numFmtId="165" fontId="28" fillId="10" borderId="44" xfId="0" applyNumberFormat="1" applyFont="1" applyFill="1" applyBorder="1" applyAlignment="1">
      <alignment horizontal="center" vertical="center" wrapText="1"/>
    </xf>
    <xf numFmtId="0" fontId="78" fillId="8" borderId="40" xfId="0" applyFont="1" applyFill="1" applyBorder="1" applyAlignment="1">
      <alignment horizontal="left" vertical="center"/>
    </xf>
    <xf numFmtId="0" fontId="78" fillId="8" borderId="41" xfId="0" applyFont="1" applyFill="1" applyBorder="1" applyAlignment="1">
      <alignment horizontal="left" vertical="center"/>
    </xf>
    <xf numFmtId="0" fontId="78" fillId="8" borderId="42" xfId="0" applyFont="1" applyFill="1" applyBorder="1" applyAlignment="1">
      <alignment horizontal="left" vertical="center"/>
    </xf>
    <xf numFmtId="0" fontId="43" fillId="0" borderId="8" xfId="0" applyFont="1" applyBorder="1" applyAlignment="1">
      <alignment horizontal="center" vertical="center" wrapText="1"/>
    </xf>
    <xf numFmtId="0" fontId="43" fillId="0" borderId="12" xfId="0" applyFont="1" applyBorder="1" applyAlignment="1">
      <alignment horizontal="center" vertical="center" wrapText="1"/>
    </xf>
    <xf numFmtId="0" fontId="43" fillId="0" borderId="9" xfId="0" applyFont="1" applyBorder="1" applyAlignment="1">
      <alignment horizontal="center" vertical="center" wrapText="1"/>
    </xf>
    <xf numFmtId="0" fontId="43" fillId="0" borderId="1" xfId="0" applyFont="1" applyBorder="1" applyAlignment="1">
      <alignment horizontal="center" vertical="center" wrapText="1"/>
    </xf>
    <xf numFmtId="0" fontId="8" fillId="0" borderId="2" xfId="0" applyFont="1" applyBorder="1" applyAlignment="1">
      <alignment horizontal="center" vertical="center" wrapText="1"/>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9" xfId="0" applyFont="1" applyBorder="1" applyAlignment="1">
      <alignment horizontal="center" vertical="center" wrapText="1"/>
    </xf>
    <xf numFmtId="0" fontId="43" fillId="0" borderId="2" xfId="0" applyFont="1" applyBorder="1" applyAlignment="1">
      <alignment horizontal="center" vertical="center" wrapText="1"/>
    </xf>
    <xf numFmtId="0" fontId="43" fillId="0" borderId="3" xfId="0" applyFont="1" applyBorder="1" applyAlignment="1">
      <alignment horizontal="center" vertical="center" wrapText="1"/>
    </xf>
    <xf numFmtId="0" fontId="43" fillId="0" borderId="4" xfId="0" applyFont="1" applyBorder="1" applyAlignment="1">
      <alignment horizontal="center" vertical="center" wrapText="1"/>
    </xf>
    <xf numFmtId="3" fontId="8" fillId="0" borderId="2" xfId="0" applyNumberFormat="1" applyFont="1" applyBorder="1" applyAlignment="1">
      <alignment horizontal="center" vertical="center" wrapText="1"/>
    </xf>
    <xf numFmtId="3" fontId="8" fillId="0" borderId="4" xfId="0" applyNumberFormat="1" applyFont="1" applyBorder="1" applyAlignment="1">
      <alignment horizontal="center" vertical="center" wrapText="1"/>
    </xf>
    <xf numFmtId="4" fontId="0" fillId="0" borderId="1" xfId="0" applyNumberForma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3" fontId="0" fillId="4" borderId="1" xfId="0" applyNumberFormat="1" applyFill="1" applyBorder="1" applyAlignment="1">
      <alignment horizontal="center" vertical="center" wrapText="1"/>
    </xf>
    <xf numFmtId="3" fontId="0" fillId="4" borderId="5" xfId="0" applyNumberFormat="1" applyFill="1" applyBorder="1" applyAlignment="1">
      <alignment horizontal="center" vertical="center"/>
    </xf>
    <xf numFmtId="0" fontId="0" fillId="4" borderId="7" xfId="0" applyFill="1" applyBorder="1" applyAlignment="1">
      <alignment horizontal="center" vertical="center"/>
    </xf>
    <xf numFmtId="3" fontId="0" fillId="4" borderId="2" xfId="0" applyNumberFormat="1" applyFill="1" applyBorder="1" applyAlignment="1">
      <alignment horizontal="center" vertical="center" wrapText="1"/>
    </xf>
    <xf numFmtId="3" fontId="0" fillId="4" borderId="3" xfId="0" applyNumberFormat="1" applyFill="1" applyBorder="1" applyAlignment="1">
      <alignment horizontal="center" vertical="center" wrapText="1"/>
    </xf>
    <xf numFmtId="3" fontId="0" fillId="4" borderId="4" xfId="0" applyNumberFormat="1" applyFill="1" applyBorder="1" applyAlignment="1">
      <alignment horizontal="center" vertical="center" wrapText="1"/>
    </xf>
    <xf numFmtId="168" fontId="0" fillId="0" borderId="2" xfId="2" applyNumberFormat="1" applyFont="1" applyBorder="1" applyAlignment="1">
      <alignment horizontal="center" vertical="center"/>
    </xf>
    <xf numFmtId="168" fontId="0" fillId="0" borderId="3" xfId="2" applyNumberFormat="1" applyFont="1" applyBorder="1" applyAlignment="1">
      <alignment horizontal="center" vertical="center"/>
    </xf>
    <xf numFmtId="168" fontId="0" fillId="0" borderId="4" xfId="2" applyNumberFormat="1" applyFont="1" applyBorder="1" applyAlignment="1">
      <alignment horizontal="center" vertical="center"/>
    </xf>
    <xf numFmtId="3" fontId="0" fillId="0" borderId="2" xfId="2" applyNumberFormat="1" applyFont="1" applyBorder="1" applyAlignment="1">
      <alignment horizontal="center" vertical="center"/>
    </xf>
    <xf numFmtId="3" fontId="0" fillId="0" borderId="3" xfId="2" applyNumberFormat="1" applyFont="1" applyBorder="1" applyAlignment="1">
      <alignment horizontal="center" vertical="center"/>
    </xf>
    <xf numFmtId="3" fontId="0" fillId="0" borderId="4" xfId="2" applyNumberFormat="1" applyFont="1" applyBorder="1" applyAlignment="1">
      <alignment horizontal="center" vertical="center"/>
    </xf>
    <xf numFmtId="4" fontId="0" fillId="0" borderId="2" xfId="2" applyNumberFormat="1" applyFont="1" applyBorder="1" applyAlignment="1">
      <alignment horizontal="center" vertical="center"/>
    </xf>
    <xf numFmtId="4" fontId="0" fillId="0" borderId="3" xfId="2" applyNumberFormat="1" applyFont="1" applyBorder="1" applyAlignment="1">
      <alignment horizontal="center" vertical="center"/>
    </xf>
    <xf numFmtId="4" fontId="0" fillId="0" borderId="4" xfId="2" applyNumberFormat="1" applyFont="1" applyBorder="1" applyAlignment="1">
      <alignment horizontal="center" vertical="center"/>
    </xf>
    <xf numFmtId="3" fontId="0" fillId="0" borderId="2" xfId="0" applyNumberFormat="1" applyBorder="1" applyAlignment="1">
      <alignment horizontal="center" vertical="center"/>
    </xf>
    <xf numFmtId="3" fontId="0" fillId="0" borderId="3" xfId="0" applyNumberFormat="1" applyBorder="1" applyAlignment="1">
      <alignment horizontal="center" vertical="center"/>
    </xf>
    <xf numFmtId="3" fontId="0" fillId="0" borderId="4" xfId="0" applyNumberFormat="1" applyBorder="1" applyAlignment="1">
      <alignment horizontal="center" vertical="center"/>
    </xf>
    <xf numFmtId="3" fontId="8" fillId="0" borderId="3" xfId="0" applyNumberFormat="1" applyFont="1" applyBorder="1" applyAlignment="1">
      <alignment horizontal="center" vertical="center" wrapText="1"/>
    </xf>
    <xf numFmtId="0" fontId="39" fillId="0" borderId="8" xfId="0" applyFont="1" applyBorder="1" applyAlignment="1">
      <alignment horizontal="left" vertical="top" wrapText="1"/>
    </xf>
    <xf numFmtId="0" fontId="39" fillId="0" borderId="12" xfId="0" applyFont="1" applyBorder="1" applyAlignment="1">
      <alignment horizontal="left" vertical="top" wrapText="1"/>
    </xf>
    <xf numFmtId="0" fontId="39" fillId="0" borderId="9" xfId="0" applyFont="1" applyBorder="1" applyAlignment="1">
      <alignment horizontal="left" vertical="top" wrapText="1"/>
    </xf>
    <xf numFmtId="0" fontId="5" fillId="0" borderId="8" xfId="0" applyFont="1" applyBorder="1" applyAlignment="1">
      <alignment horizontal="center" vertical="center" wrapText="1"/>
    </xf>
    <xf numFmtId="0" fontId="57" fillId="0" borderId="0" xfId="0" applyFont="1" applyAlignment="1">
      <alignment horizontal="center"/>
    </xf>
    <xf numFmtId="4" fontId="43" fillId="2" borderId="1" xfId="2" applyNumberFormat="1" applyFont="1" applyFill="1" applyBorder="1" applyAlignment="1">
      <alignment horizontal="center" vertical="center" wrapText="1"/>
    </xf>
    <xf numFmtId="3" fontId="43" fillId="0" borderId="2" xfId="0" applyNumberFormat="1" applyFont="1" applyBorder="1" applyAlignment="1">
      <alignment horizontal="center" vertical="center" wrapText="1"/>
    </xf>
    <xf numFmtId="3" fontId="43" fillId="0" borderId="3" xfId="0" applyNumberFormat="1" applyFont="1" applyBorder="1" applyAlignment="1">
      <alignment horizontal="center" vertical="center" wrapText="1"/>
    </xf>
    <xf numFmtId="3" fontId="43" fillId="0" borderId="4" xfId="0" applyNumberFormat="1" applyFont="1" applyBorder="1" applyAlignment="1">
      <alignment horizontal="center" vertical="center" wrapText="1"/>
    </xf>
    <xf numFmtId="3" fontId="43" fillId="0" borderId="1" xfId="0" applyNumberFormat="1" applyFont="1" applyBorder="1" applyAlignment="1">
      <alignment horizontal="center" vertical="center" wrapText="1"/>
    </xf>
    <xf numFmtId="0" fontId="0" fillId="0" borderId="1" xfId="0" applyBorder="1" applyAlignment="1">
      <alignment horizontal="center" vertical="center" wrapText="1"/>
    </xf>
    <xf numFmtId="9" fontId="8" fillId="0" borderId="2" xfId="2" applyFont="1" applyBorder="1" applyAlignment="1">
      <alignment horizontal="center" vertical="center" wrapText="1"/>
    </xf>
    <xf numFmtId="9" fontId="8" fillId="0" borderId="3" xfId="2" applyFont="1" applyBorder="1" applyAlignment="1">
      <alignment horizontal="center" vertical="center" wrapText="1"/>
    </xf>
    <xf numFmtId="9" fontId="8" fillId="0" borderId="4" xfId="2" applyFont="1" applyBorder="1" applyAlignment="1">
      <alignment horizontal="center" vertical="center" wrapText="1"/>
    </xf>
    <xf numFmtId="0" fontId="25" fillId="0" borderId="2" xfId="0" applyFont="1" applyBorder="1" applyAlignment="1">
      <alignment horizontal="left" vertical="center" wrapText="1"/>
    </xf>
    <xf numFmtId="0" fontId="25" fillId="0" borderId="4" xfId="0" applyFont="1" applyBorder="1" applyAlignment="1">
      <alignment horizontal="left" vertical="center" wrapText="1"/>
    </xf>
    <xf numFmtId="0" fontId="0" fillId="0" borderId="8" xfId="0" applyBorder="1" applyAlignment="1">
      <alignment horizontal="center"/>
    </xf>
    <xf numFmtId="0" fontId="0" fillId="0" borderId="12" xfId="0" applyBorder="1" applyAlignment="1">
      <alignment horizontal="center"/>
    </xf>
    <xf numFmtId="0" fontId="0" fillId="0" borderId="9" xfId="0" applyBorder="1" applyAlignment="1">
      <alignment horizontal="center"/>
    </xf>
    <xf numFmtId="9" fontId="0" fillId="0" borderId="2" xfId="2" applyFont="1" applyBorder="1" applyAlignment="1">
      <alignment horizontal="center" vertical="center" wrapText="1"/>
    </xf>
    <xf numFmtId="9" fontId="0" fillId="0" borderId="3" xfId="2" applyFont="1" applyBorder="1" applyAlignment="1">
      <alignment horizontal="center" vertical="center" wrapText="1"/>
    </xf>
    <xf numFmtId="9" fontId="0" fillId="0" borderId="4" xfId="2" applyFont="1" applyBorder="1" applyAlignment="1">
      <alignment horizontal="center" vertical="center" wrapText="1"/>
    </xf>
    <xf numFmtId="165" fontId="25" fillId="2" borderId="23" xfId="0" applyNumberFormat="1" applyFont="1" applyFill="1" applyBorder="1" applyAlignment="1">
      <alignment horizontal="center" vertical="center" wrapText="1"/>
    </xf>
    <xf numFmtId="165" fontId="25" fillId="2" borderId="33" xfId="0" applyNumberFormat="1" applyFont="1" applyFill="1" applyBorder="1" applyAlignment="1">
      <alignment horizontal="center" vertical="center" wrapText="1"/>
    </xf>
    <xf numFmtId="165" fontId="25" fillId="2" borderId="17" xfId="0" applyNumberFormat="1" applyFont="1" applyFill="1" applyBorder="1" applyAlignment="1">
      <alignment horizontal="center" vertical="center" wrapText="1"/>
    </xf>
    <xf numFmtId="0" fontId="28" fillId="2" borderId="0" xfId="0" applyFont="1" applyFill="1" applyAlignment="1">
      <alignment horizontal="left" vertical="center" wrapText="1"/>
    </xf>
    <xf numFmtId="165" fontId="25" fillId="2" borderId="0" xfId="0" applyNumberFormat="1" applyFont="1" applyFill="1" applyAlignment="1">
      <alignment horizontal="left" vertical="center" wrapText="1"/>
    </xf>
    <xf numFmtId="0" fontId="90" fillId="0" borderId="5" xfId="0" applyFont="1" applyBorder="1" applyAlignment="1">
      <alignment horizontal="left" vertical="top" wrapText="1"/>
    </xf>
    <xf numFmtId="0" fontId="90" fillId="0" borderId="6" xfId="0" applyFont="1" applyBorder="1" applyAlignment="1">
      <alignment horizontal="left" vertical="top" wrapText="1"/>
    </xf>
    <xf numFmtId="0" fontId="90" fillId="0" borderId="7" xfId="0" applyFont="1" applyBorder="1" applyAlignment="1">
      <alignment horizontal="left" vertical="top" wrapText="1"/>
    </xf>
    <xf numFmtId="0" fontId="90" fillId="0" borderId="71" xfId="0" applyFont="1" applyBorder="1" applyAlignment="1">
      <alignment horizontal="left" vertical="top" wrapText="1"/>
    </xf>
    <xf numFmtId="0" fontId="90" fillId="0" borderId="0" xfId="0" applyFont="1" applyAlignment="1">
      <alignment horizontal="left" vertical="top" wrapText="1"/>
    </xf>
    <xf numFmtId="0" fontId="90" fillId="0" borderId="72" xfId="0" applyFont="1" applyBorder="1" applyAlignment="1">
      <alignment horizontal="left" vertical="top" wrapText="1"/>
    </xf>
    <xf numFmtId="0" fontId="90" fillId="0" borderId="73" xfId="0" applyFont="1" applyBorder="1" applyAlignment="1">
      <alignment horizontal="left" vertical="top" wrapText="1"/>
    </xf>
    <xf numFmtId="0" fontId="90" fillId="0" borderId="74" xfId="0" applyFont="1" applyBorder="1" applyAlignment="1">
      <alignment horizontal="left" vertical="top" wrapText="1"/>
    </xf>
    <xf numFmtId="0" fontId="90" fillId="0" borderId="89" xfId="0" applyFont="1" applyBorder="1" applyAlignment="1">
      <alignment horizontal="left" vertical="top"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28" fillId="0" borderId="2" xfId="0" applyFont="1" applyBorder="1" applyAlignment="1">
      <alignment horizontal="center" vertical="center" wrapText="1"/>
    </xf>
    <xf numFmtId="0" fontId="28" fillId="0" borderId="3" xfId="0" applyFont="1" applyBorder="1" applyAlignment="1">
      <alignment horizontal="center" vertical="center" wrapText="1"/>
    </xf>
    <xf numFmtId="0" fontId="28" fillId="0" borderId="4" xfId="0" applyFont="1" applyBorder="1" applyAlignment="1">
      <alignment horizontal="center" vertical="center" wrapText="1"/>
    </xf>
    <xf numFmtId="0" fontId="59" fillId="0" borderId="1" xfId="0" applyFont="1" applyBorder="1" applyAlignment="1">
      <alignment horizontal="center" vertical="center" wrapText="1"/>
    </xf>
    <xf numFmtId="0" fontId="28" fillId="0" borderId="1" xfId="0" applyFont="1" applyBorder="1" applyAlignment="1">
      <alignment horizontal="center" wrapText="1"/>
    </xf>
    <xf numFmtId="0" fontId="6" fillId="0" borderId="1" xfId="0" applyFont="1" applyBorder="1" applyAlignment="1">
      <alignment horizontal="center" vertical="center" wrapText="1"/>
    </xf>
    <xf numFmtId="0" fontId="28" fillId="0" borderId="2" xfId="0" applyFont="1" applyBorder="1" applyAlignment="1">
      <alignment horizontal="left"/>
    </xf>
    <xf numFmtId="0" fontId="28" fillId="0" borderId="3" xfId="0" applyFont="1" applyBorder="1" applyAlignment="1">
      <alignment horizontal="left"/>
    </xf>
    <xf numFmtId="0" fontId="28" fillId="0" borderId="4" xfId="0" applyFont="1" applyBorder="1" applyAlignment="1">
      <alignment horizontal="left"/>
    </xf>
    <xf numFmtId="2" fontId="0" fillId="0" borderId="1" xfId="0" applyNumberFormat="1" applyBorder="1" applyAlignment="1">
      <alignment horizontal="center" vertical="center"/>
    </xf>
    <xf numFmtId="179" fontId="49" fillId="0" borderId="1" xfId="0" applyNumberFormat="1" applyFont="1" applyBorder="1" applyAlignment="1">
      <alignment horizontal="center" vertical="center"/>
    </xf>
    <xf numFmtId="0" fontId="49" fillId="0" borderId="1" xfId="0" applyFont="1" applyBorder="1" applyAlignment="1">
      <alignment horizontal="center" vertical="center" wrapText="1"/>
    </xf>
    <xf numFmtId="179" fontId="0" fillId="0" borderId="1" xfId="0" applyNumberFormat="1" applyBorder="1" applyAlignment="1">
      <alignment horizontal="center" vertical="center"/>
    </xf>
    <xf numFmtId="0" fontId="64" fillId="0" borderId="1" xfId="0" applyFont="1" applyBorder="1" applyAlignment="1">
      <alignment horizontal="center" vertical="center"/>
    </xf>
    <xf numFmtId="0" fontId="43" fillId="0" borderId="1" xfId="0" applyFont="1" applyBorder="1" applyAlignment="1">
      <alignment horizontal="center" vertical="center"/>
    </xf>
    <xf numFmtId="0" fontId="43" fillId="0" borderId="2" xfId="0" applyFont="1" applyBorder="1" applyAlignment="1">
      <alignment horizontal="center" vertical="center"/>
    </xf>
    <xf numFmtId="0" fontId="43" fillId="0" borderId="3" xfId="0" applyFont="1" applyBorder="1" applyAlignment="1">
      <alignment horizontal="center" vertical="center"/>
    </xf>
    <xf numFmtId="0" fontId="43" fillId="0" borderId="4" xfId="0" applyFont="1" applyBorder="1" applyAlignment="1">
      <alignment horizontal="center" vertical="center"/>
    </xf>
    <xf numFmtId="2" fontId="0" fillId="0" borderId="2" xfId="0" applyNumberFormat="1" applyBorder="1" applyAlignment="1">
      <alignment horizontal="center" vertical="center"/>
    </xf>
    <xf numFmtId="2" fontId="0" fillId="0" borderId="3" xfId="0" applyNumberFormat="1" applyBorder="1" applyAlignment="1">
      <alignment horizontal="center" vertical="center"/>
    </xf>
    <xf numFmtId="2" fontId="0" fillId="0" borderId="4" xfId="0" applyNumberFormat="1" applyBorder="1" applyAlignment="1">
      <alignment horizontal="center" vertical="center"/>
    </xf>
    <xf numFmtId="0" fontId="65" fillId="0" borderId="1" xfId="0" applyFont="1" applyBorder="1" applyAlignment="1">
      <alignment horizontal="left" vertical="top" wrapText="1"/>
    </xf>
    <xf numFmtId="0" fontId="28" fillId="0" borderId="1" xfId="0" applyFont="1" applyBorder="1" applyAlignment="1">
      <alignment horizontal="center" vertical="center" wrapText="1"/>
    </xf>
    <xf numFmtId="0" fontId="0" fillId="0" borderId="1" xfId="0" applyBorder="1" applyAlignment="1">
      <alignment horizontal="center" vertical="center"/>
    </xf>
    <xf numFmtId="2" fontId="0" fillId="0" borderId="1" xfId="0" applyNumberFormat="1" applyBorder="1" applyAlignment="1">
      <alignment horizontal="center"/>
    </xf>
    <xf numFmtId="0" fontId="59" fillId="0" borderId="2" xfId="0" applyFont="1" applyBorder="1" applyAlignment="1">
      <alignment horizontal="center" vertical="center" wrapText="1"/>
    </xf>
    <xf numFmtId="0" fontId="59" fillId="0" borderId="3" xfId="0" applyFont="1" applyBorder="1" applyAlignment="1">
      <alignment horizontal="center" vertical="center" wrapText="1"/>
    </xf>
    <xf numFmtId="0" fontId="59" fillId="0" borderId="4" xfId="0" applyFont="1" applyBorder="1" applyAlignment="1">
      <alignment horizontal="center" vertical="center" wrapText="1"/>
    </xf>
    <xf numFmtId="179" fontId="0" fillId="0" borderId="2" xfId="0" applyNumberFormat="1" applyBorder="1" applyAlignment="1">
      <alignment horizontal="center" vertical="center"/>
    </xf>
    <xf numFmtId="179" fontId="0" fillId="0" borderId="3" xfId="0" applyNumberFormat="1" applyBorder="1" applyAlignment="1">
      <alignment horizontal="center" vertical="center"/>
    </xf>
    <xf numFmtId="179" fontId="0" fillId="0" borderId="4" xfId="0" applyNumberFormat="1" applyBorder="1" applyAlignment="1">
      <alignment horizontal="center" vertical="center"/>
    </xf>
    <xf numFmtId="0" fontId="28" fillId="0" borderId="1" xfId="0" applyFont="1" applyBorder="1" applyAlignment="1">
      <alignment horizontal="left"/>
    </xf>
    <xf numFmtId="0" fontId="28" fillId="0" borderId="2" xfId="0" applyFont="1" applyBorder="1" applyAlignment="1">
      <alignment horizontal="left" vertical="top" wrapText="1"/>
    </xf>
    <xf numFmtId="0" fontId="28" fillId="0" borderId="3" xfId="0" applyFont="1" applyBorder="1" applyAlignment="1">
      <alignment horizontal="left" vertical="top" wrapText="1"/>
    </xf>
    <xf numFmtId="0" fontId="28" fillId="0" borderId="4" xfId="0" applyFont="1" applyBorder="1" applyAlignment="1">
      <alignment horizontal="left" vertical="top" wrapText="1"/>
    </xf>
    <xf numFmtId="0" fontId="59" fillId="0" borderId="1" xfId="0" applyFont="1" applyBorder="1" applyAlignment="1">
      <alignment horizontal="center"/>
    </xf>
    <xf numFmtId="0" fontId="25" fillId="0" borderId="1" xfId="0" applyFont="1" applyBorder="1" applyAlignment="1">
      <alignment horizontal="center" wrapText="1"/>
    </xf>
    <xf numFmtId="0" fontId="59" fillId="0" borderId="1" xfId="0" applyFont="1" applyBorder="1" applyAlignment="1">
      <alignment horizontal="left" vertical="top" wrapText="1"/>
    </xf>
  </cellXfs>
  <cellStyles count="38">
    <cellStyle name="Comma" xfId="1" builtinId="3"/>
    <cellStyle name="Comma 2" xfId="14" xr:uid="{7EB75E83-969A-45B2-9CE1-473F6ABE58E9}"/>
    <cellStyle name="Normal" xfId="0" builtinId="0"/>
    <cellStyle name="Normal 12" xfId="16" xr:uid="{009CF539-0B0C-43F7-B0D5-FAA08DF4A915}"/>
    <cellStyle name="Normal 2" xfId="5" xr:uid="{00000000-0005-0000-0000-000002000000}"/>
    <cellStyle name="Normal 2 2" xfId="3" xr:uid="{00000000-0005-0000-0000-000003000000}"/>
    <cellStyle name="Normal 2 3" xfId="8" xr:uid="{00000000-0005-0000-0000-000004000000}"/>
    <cellStyle name="Normal 2 4" xfId="17" xr:uid="{929CF9C1-09C2-4FF1-82E4-45276EC7D103}"/>
    <cellStyle name="Normal 2 4 2" xfId="31" xr:uid="{041816BF-F699-447B-819F-26CFFE5054FB}"/>
    <cellStyle name="Normal 2 5" xfId="24" xr:uid="{E1980246-8345-4FEF-B443-B46FEE4979FA}"/>
    <cellStyle name="Normal 3" xfId="6" xr:uid="{00000000-0005-0000-0000-000005000000}"/>
    <cellStyle name="Normal 3 2" xfId="9" xr:uid="{00000000-0005-0000-0000-000006000000}"/>
    <cellStyle name="Normal 3 3" xfId="18" xr:uid="{F255A276-F220-49DB-B96B-15CB01470326}"/>
    <cellStyle name="Normal 3 3 2" xfId="32" xr:uid="{F73BEED2-302A-4A44-86FF-3127618A7CC7}"/>
    <cellStyle name="Normal 3 4" xfId="25" xr:uid="{6E87CEE3-EF4B-4455-B286-529B43980C05}"/>
    <cellStyle name="Normal 4" xfId="4" xr:uid="{00000000-0005-0000-0000-000007000000}"/>
    <cellStyle name="Normal 5" xfId="10" xr:uid="{00000000-0005-0000-0000-000008000000}"/>
    <cellStyle name="Normal 5 2" xfId="20" xr:uid="{E0805B0C-19BE-4256-8265-893377500DE5}"/>
    <cellStyle name="Normal 5 2 2" xfId="34" xr:uid="{EAFEA99E-FAEF-4E8C-A038-71D3ABD855CF}"/>
    <cellStyle name="Normal 5 3" xfId="27" xr:uid="{316E1134-5C68-4E34-9B60-3369DFFC2253}"/>
    <cellStyle name="Normal 6" xfId="11" xr:uid="{00000000-0005-0000-0000-000009000000}"/>
    <cellStyle name="Normal 6 2" xfId="21" xr:uid="{5783EF08-4291-44DF-9C8A-B2686E3D5FB4}"/>
    <cellStyle name="Normal 6 2 2" xfId="35" xr:uid="{9E488CC3-7A30-4988-9F58-00133AFC8004}"/>
    <cellStyle name="Normal 6 3" xfId="28" xr:uid="{04AA072E-E0CF-4920-B2D3-9D12B253E09E}"/>
    <cellStyle name="Normal 7" xfId="12" xr:uid="{00000000-0005-0000-0000-00000A000000}"/>
    <cellStyle name="Normal 7 2" xfId="22" xr:uid="{8144EFC5-F6E3-48C4-9A59-712D01FC9637}"/>
    <cellStyle name="Normal 7 2 2" xfId="36" xr:uid="{54227099-2A52-4615-BD01-A0C74D86E935}"/>
    <cellStyle name="Normal 7 3" xfId="29" xr:uid="{410998E6-29F8-4B50-BBA5-FFE12B8AB7C0}"/>
    <cellStyle name="Normal 8" xfId="13" xr:uid="{00000000-0005-0000-0000-00000B000000}"/>
    <cellStyle name="Normal 8 2" xfId="23" xr:uid="{C99406BD-6DE6-4A8D-8C9B-2A0CE1B1A93E}"/>
    <cellStyle name="Normal 8 2 2" xfId="37" xr:uid="{911AD5E1-6165-4E1C-8FE5-B6CF91A6B914}"/>
    <cellStyle name="Normal 8 3" xfId="30" xr:uid="{702D1CBC-A873-45BE-9384-108DF795D1F0}"/>
    <cellStyle name="Percent" xfId="2" builtinId="5"/>
    <cellStyle name="Percent 2" xfId="7" xr:uid="{00000000-0005-0000-0000-00000D000000}"/>
    <cellStyle name="Percent 2 2" xfId="19" xr:uid="{B81C941C-7CD8-460D-91D5-FC5DFCC82B4C}"/>
    <cellStyle name="Percent 2 2 2" xfId="33" xr:uid="{1728B53B-5AA3-44B5-8C83-14BF262D55AC}"/>
    <cellStyle name="Percent 2 3" xfId="26" xr:uid="{AE7DD5CA-AB2D-4C2C-8DF0-86D7944BAE94}"/>
    <cellStyle name="Percent 3" xfId="15" xr:uid="{5A2DBE4D-C6F4-48F8-996E-B556400D543B}"/>
  </cellStyles>
  <dxfs count="0"/>
  <tableStyles count="0" defaultTableStyle="TableStyleMedium2" defaultPivotStyle="PivotStyleMedium9"/>
  <colors>
    <mruColors>
      <color rgb="FFEAEEEF"/>
      <color rgb="FF67C08B"/>
      <color rgb="FFD9D9D9"/>
      <color rgb="FFE8C895"/>
      <color rgb="FF5A6265"/>
      <color rgb="FF9B8578"/>
      <color rgb="FF63AFC6"/>
      <color rgb="FFDDD9C4"/>
      <color rgb="FFF5862B"/>
      <color rgb="FF3660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autoTitleDeleted val="1"/>
    <c:plotArea>
      <c:layout>
        <c:manualLayout>
          <c:layoutTarget val="inner"/>
          <c:xMode val="edge"/>
          <c:yMode val="edge"/>
          <c:x val="5.4475958370338008E-2"/>
          <c:y val="0.13354305143675221"/>
          <c:w val="0.93300715636072362"/>
          <c:h val="0.68503037120359955"/>
        </c:manualLayout>
      </c:layout>
      <c:barChart>
        <c:barDir val="col"/>
        <c:grouping val="clustered"/>
        <c:varyColors val="0"/>
        <c:ser>
          <c:idx val="2"/>
          <c:order val="0"/>
          <c:spPr>
            <a:solidFill>
              <a:schemeClr val="bg1">
                <a:lumMod val="85000"/>
              </a:schemeClr>
            </a:solidFill>
            <a:ln>
              <a:noFill/>
            </a:ln>
            <a:effectLst/>
          </c:spPr>
          <c:invertIfNegative val="0"/>
          <c:dPt>
            <c:idx val="0"/>
            <c:invertIfNegative val="0"/>
            <c:bubble3D val="0"/>
            <c:spPr>
              <a:solidFill>
                <a:srgbClr val="EAEEEF"/>
              </a:solidFill>
              <a:ln>
                <a:noFill/>
              </a:ln>
              <a:effectLst/>
            </c:spPr>
            <c:extLst>
              <c:ext xmlns:c16="http://schemas.microsoft.com/office/drawing/2014/chart" uri="{C3380CC4-5D6E-409C-BE32-E72D297353CC}">
                <c16:uniqueId val="{00000008-2E0B-41B5-BB92-5F4DCF6125C8}"/>
              </c:ext>
            </c:extLst>
          </c:dPt>
          <c:dPt>
            <c:idx val="1"/>
            <c:invertIfNegative val="0"/>
            <c:bubble3D val="0"/>
            <c:spPr>
              <a:solidFill>
                <a:srgbClr val="E8C895"/>
              </a:solidFill>
              <a:ln>
                <a:noFill/>
              </a:ln>
              <a:effectLst/>
            </c:spPr>
            <c:extLst>
              <c:ext xmlns:c16="http://schemas.microsoft.com/office/drawing/2014/chart" uri="{C3380CC4-5D6E-409C-BE32-E72D297353CC}">
                <c16:uniqueId val="{00000007-2E0B-41B5-BB92-5F4DCF6125C8}"/>
              </c:ext>
            </c:extLst>
          </c:dPt>
          <c:dPt>
            <c:idx val="2"/>
            <c:invertIfNegative val="0"/>
            <c:bubble3D val="0"/>
            <c:spPr>
              <a:solidFill>
                <a:srgbClr val="EAEEEF"/>
              </a:solidFill>
              <a:ln>
                <a:noFill/>
              </a:ln>
              <a:effectLst/>
            </c:spPr>
            <c:extLst>
              <c:ext xmlns:c16="http://schemas.microsoft.com/office/drawing/2014/chart" uri="{C3380CC4-5D6E-409C-BE32-E72D297353CC}">
                <c16:uniqueId val="{00000006-2E0B-41B5-BB92-5F4DCF6125C8}"/>
              </c:ext>
            </c:extLst>
          </c:dPt>
          <c:dPt>
            <c:idx val="3"/>
            <c:invertIfNegative val="0"/>
            <c:bubble3D val="0"/>
            <c:spPr>
              <a:solidFill>
                <a:srgbClr val="EAEEEF"/>
              </a:solidFill>
              <a:ln>
                <a:noFill/>
              </a:ln>
              <a:effectLst/>
            </c:spPr>
            <c:extLst>
              <c:ext xmlns:c16="http://schemas.microsoft.com/office/drawing/2014/chart" uri="{C3380CC4-5D6E-409C-BE32-E72D297353CC}">
                <c16:uniqueId val="{00000005-2E0B-41B5-BB92-5F4DCF6125C8}"/>
              </c:ext>
            </c:extLst>
          </c:dPt>
          <c:dPt>
            <c:idx val="4"/>
            <c:invertIfNegative val="0"/>
            <c:bubble3D val="0"/>
            <c:spPr>
              <a:solidFill>
                <a:srgbClr val="EAEEEF"/>
              </a:solidFill>
              <a:ln>
                <a:noFill/>
              </a:ln>
              <a:effectLst/>
            </c:spPr>
            <c:extLst>
              <c:ext xmlns:c16="http://schemas.microsoft.com/office/drawing/2014/chart" uri="{C3380CC4-5D6E-409C-BE32-E72D297353CC}">
                <c16:uniqueId val="{00000001-E582-40AB-B5FF-55D62F321D6E}"/>
              </c:ext>
            </c:extLst>
          </c:dPt>
          <c:dPt>
            <c:idx val="5"/>
            <c:invertIfNegative val="0"/>
            <c:bubble3D val="0"/>
            <c:spPr>
              <a:solidFill>
                <a:srgbClr val="EAEEEF"/>
              </a:solidFill>
              <a:ln>
                <a:noFill/>
              </a:ln>
              <a:effectLst/>
            </c:spPr>
            <c:extLst>
              <c:ext xmlns:c16="http://schemas.microsoft.com/office/drawing/2014/chart" uri="{C3380CC4-5D6E-409C-BE32-E72D297353CC}">
                <c16:uniqueId val="{00000004-2E0B-41B5-BB92-5F4DCF6125C8}"/>
              </c:ext>
            </c:extLst>
          </c:dPt>
          <c:dPt>
            <c:idx val="6"/>
            <c:invertIfNegative val="0"/>
            <c:bubble3D val="0"/>
            <c:spPr>
              <a:solidFill>
                <a:srgbClr val="E8C895"/>
              </a:solidFill>
              <a:ln>
                <a:noFill/>
              </a:ln>
              <a:effectLst/>
            </c:spPr>
            <c:extLst>
              <c:ext xmlns:c16="http://schemas.microsoft.com/office/drawing/2014/chart" uri="{C3380CC4-5D6E-409C-BE32-E72D297353CC}">
                <c16:uniqueId val="{00000003-E582-40AB-B5FF-55D62F321D6E}"/>
              </c:ext>
            </c:extLst>
          </c:dPt>
          <c:dLbls>
            <c:spPr>
              <a:noFill/>
              <a:ln>
                <a:noFill/>
              </a:ln>
              <a:effectLst/>
            </c:spPr>
            <c:txPr>
              <a:bodyPr rot="0" spcFirstLastPara="1" vertOverflow="ellipsis" vert="horz" wrap="square" lIns="38100" tIns="19050" rIns="38100" bIns="19050" anchor="ctr" anchorCtr="1">
                <a:spAutoFit/>
              </a:bodyPr>
              <a:lstStyle/>
              <a:p>
                <a:pPr>
                  <a:defRPr sz="2000" b="1" i="0" u="none" strike="noStrike" kern="1200" baseline="0">
                    <a:solidFill>
                      <a:schemeClr val="tx1">
                        <a:lumMod val="75000"/>
                        <a:lumOff val="25000"/>
                      </a:schemeClr>
                    </a:solidFill>
                    <a:latin typeface="+mn-lt"/>
                    <a:ea typeface="+mn-ea"/>
                    <a:cs typeface="+mn-cs"/>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'Annex 2. Prices 2024'!$E$726:$F$726</c:f>
              <c:numCache>
                <c:formatCode>0</c:formatCode>
                <c:ptCount val="2"/>
                <c:pt idx="0">
                  <c:v>2023</c:v>
                </c:pt>
                <c:pt idx="1">
                  <c:v>2024</c:v>
                </c:pt>
              </c:numCache>
            </c:numRef>
          </c:cat>
          <c:val>
            <c:numRef>
              <c:f>'Annex 2. Prices 2024'!$E$727:$F$727</c:f>
              <c:numCache>
                <c:formatCode>#,##0.00</c:formatCode>
                <c:ptCount val="2"/>
                <c:pt idx="0">
                  <c:v>1.39</c:v>
                </c:pt>
                <c:pt idx="1">
                  <c:v>1.49</c:v>
                </c:pt>
              </c:numCache>
            </c:numRef>
          </c:val>
          <c:extLst>
            <c:ext xmlns:c16="http://schemas.microsoft.com/office/drawing/2014/chart" uri="{C3380CC4-5D6E-409C-BE32-E72D297353CC}">
              <c16:uniqueId val="{00000004-E582-40AB-B5FF-55D62F321D6E}"/>
            </c:ext>
          </c:extLst>
        </c:ser>
        <c:dLbls>
          <c:showLegendKey val="0"/>
          <c:showVal val="0"/>
          <c:showCatName val="0"/>
          <c:showSerName val="0"/>
          <c:showPercent val="0"/>
          <c:showBubbleSize val="0"/>
        </c:dLbls>
        <c:gapWidth val="80"/>
        <c:axId val="249081024"/>
        <c:axId val="249080632"/>
      </c:barChart>
      <c:catAx>
        <c:axId val="249081024"/>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lt-LT"/>
          </a:p>
        </c:txPr>
        <c:crossAx val="249080632"/>
        <c:crosses val="autoZero"/>
        <c:auto val="1"/>
        <c:lblAlgn val="ctr"/>
        <c:lblOffset val="100"/>
        <c:noMultiLvlLbl val="0"/>
      </c:catAx>
      <c:valAx>
        <c:axId val="249080632"/>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lt-LT"/>
          </a:p>
        </c:txPr>
        <c:crossAx val="24908102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lt-LT"/>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withinLinear" id="17">
  <a:schemeClr val="accent4"/>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2276927</xdr:colOff>
      <xdr:row>728</xdr:row>
      <xdr:rowOff>136939</xdr:rowOff>
    </xdr:from>
    <xdr:to>
      <xdr:col>5</xdr:col>
      <xdr:colOff>1096107</xdr:colOff>
      <xdr:row>747</xdr:row>
      <xdr:rowOff>113126</xdr:rowOff>
    </xdr:to>
    <xdr:graphicFrame macro="">
      <xdr:nvGraphicFramePr>
        <xdr:cNvPr id="2" name="Chart 1">
          <a:extLst>
            <a:ext uri="{FF2B5EF4-FFF2-40B4-BE49-F238E27FC236}">
              <a16:creationId xmlns:a16="http://schemas.microsoft.com/office/drawing/2014/main" id="{9662ED4B-A835-41B0-8F91-5EE33AAE3C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0.43997</cdr:x>
      <cdr:y>0.25098</cdr:y>
    </cdr:from>
    <cdr:to>
      <cdr:x>0.6025</cdr:x>
      <cdr:y>0.38139</cdr:y>
    </cdr:to>
    <cdr:sp macro="" textlink="">
      <cdr:nvSpPr>
        <cdr:cNvPr id="11" name="Up Arrow 2">
          <a:extLst xmlns:a="http://schemas.openxmlformats.org/drawingml/2006/main">
            <a:ext uri="{FF2B5EF4-FFF2-40B4-BE49-F238E27FC236}">
              <a16:creationId xmlns:a16="http://schemas.microsoft.com/office/drawing/2014/main" id="{CDA66FA6-1D8F-4959-AB1A-428E1C08A3AA}"/>
            </a:ext>
          </a:extLst>
        </cdr:cNvPr>
        <cdr:cNvSpPr/>
      </cdr:nvSpPr>
      <cdr:spPr>
        <a:xfrm xmlns:a="http://schemas.openxmlformats.org/drawingml/2006/main">
          <a:off x="3340891" y="902447"/>
          <a:ext cx="1234153" cy="468914"/>
        </a:xfrm>
        <a:prstGeom xmlns:a="http://schemas.openxmlformats.org/drawingml/2006/main" prst="upArrow">
          <a:avLst/>
        </a:prstGeom>
        <a:solidFill xmlns:a="http://schemas.openxmlformats.org/drawingml/2006/main">
          <a:schemeClr val="bg1">
            <a:lumMod val="95000"/>
          </a:schemeClr>
        </a:solidFill>
        <a:ln xmlns:a="http://schemas.openxmlformats.org/drawingml/2006/main" w="15875">
          <a:solidFill>
            <a:schemeClr val="bg1">
              <a:lumMod val="50000"/>
            </a:schemeClr>
          </a:solidFill>
        </a:ln>
      </cdr:spPr>
      <cdr:style>
        <a:lnRef xmlns:a="http://schemas.openxmlformats.org/drawingml/2006/main" idx="2">
          <a:schemeClr val="accent2">
            <a:shade val="50000"/>
          </a:schemeClr>
        </a:lnRef>
        <a:fillRef xmlns:a="http://schemas.openxmlformats.org/drawingml/2006/main" idx="1">
          <a:schemeClr val="accent2"/>
        </a:fillRef>
        <a:effectRef xmlns:a="http://schemas.openxmlformats.org/drawingml/2006/main" idx="0">
          <a:schemeClr val="accent2"/>
        </a:effectRef>
        <a:fontRef xmlns:a="http://schemas.openxmlformats.org/drawingml/2006/main" idx="minor">
          <a:schemeClr val="lt1"/>
        </a:fontRef>
      </cdr:style>
      <cdr:txBody>
        <a:bodyPr xmlns:a="http://schemas.openxmlformats.org/drawingml/2006/main" rtlCol="0" anchor="ct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r>
            <a:rPr lang="lt-LT" sz="1050" b="0" baseline="0">
              <a:solidFill>
                <a:schemeClr val="tx1"/>
              </a:solidFill>
              <a:effectLst>
                <a:outerShdw blurRad="38100" dist="19050" dir="2700000" algn="tl" rotWithShape="0">
                  <a:schemeClr val="dk1">
                    <a:alpha val="40000"/>
                  </a:schemeClr>
                </a:outerShdw>
              </a:effectLst>
              <a:latin typeface="+mn-lt"/>
              <a:ea typeface="+mn-ea"/>
              <a:cs typeface="+mn-cs"/>
            </a:rPr>
            <a:t>+7</a:t>
          </a:r>
          <a:r>
            <a:rPr lang="en-US" sz="1050" b="0" baseline="0">
              <a:solidFill>
                <a:schemeClr val="tx1"/>
              </a:solidFill>
              <a:effectLst>
                <a:outerShdw blurRad="38100" dist="19050" dir="2700000" algn="tl" rotWithShape="0">
                  <a:schemeClr val="dk1">
                    <a:alpha val="40000"/>
                  </a:schemeClr>
                </a:outerShdw>
              </a:effectLst>
              <a:latin typeface="+mn-lt"/>
              <a:ea typeface="+mn-ea"/>
              <a:cs typeface="+mn-cs"/>
            </a:rPr>
            <a:t>,</a:t>
          </a:r>
          <a:r>
            <a:rPr lang="lt-LT" sz="1050" b="0" baseline="0">
              <a:solidFill>
                <a:schemeClr val="tx1"/>
              </a:solidFill>
              <a:effectLst>
                <a:outerShdw blurRad="38100" dist="19050" dir="2700000" algn="tl" rotWithShape="0">
                  <a:schemeClr val="dk1">
                    <a:alpha val="40000"/>
                  </a:schemeClr>
                </a:outerShdw>
              </a:effectLst>
              <a:latin typeface="+mn-lt"/>
              <a:ea typeface="+mn-ea"/>
              <a:cs typeface="+mn-cs"/>
            </a:rPr>
            <a:t>2</a:t>
          </a:r>
          <a:r>
            <a:rPr lang="en-US" sz="1050" b="0" baseline="0">
              <a:solidFill>
                <a:schemeClr val="tx1"/>
              </a:solidFill>
              <a:effectLst>
                <a:outerShdw blurRad="38100" dist="19050" dir="2700000" algn="tl" rotWithShape="0">
                  <a:schemeClr val="dk1">
                    <a:alpha val="40000"/>
                  </a:schemeClr>
                </a:outerShdw>
              </a:effectLst>
              <a:latin typeface="+mn-lt"/>
              <a:ea typeface="+mn-ea"/>
              <a:cs typeface="+mn-cs"/>
            </a:rPr>
            <a:t> %</a:t>
          </a:r>
          <a:endParaRPr lang="lt-LT" sz="1050" b="0" baseline="0">
            <a:solidFill>
              <a:schemeClr val="tx1"/>
            </a:solidFill>
            <a:effectLst>
              <a:outerShdw blurRad="38100" dist="19050" dir="2700000" algn="tl" rotWithShape="0">
                <a:schemeClr val="dk1">
                  <a:alpha val="40000"/>
                </a:schemeClr>
              </a:outerShdw>
            </a:effectLst>
            <a:latin typeface="+mn-lt"/>
            <a:ea typeface="+mn-ea"/>
            <a:cs typeface="+mn-cs"/>
          </a:endParaRPr>
        </a:p>
      </cdr:txBody>
    </cdr:sp>
  </cdr:relSizeAnchor>
</c:userShap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A771"/>
  <sheetViews>
    <sheetView showGridLines="0" tabSelected="1" topLeftCell="A690" zoomScale="85" zoomScaleNormal="85" workbookViewId="0">
      <selection activeCell="J718" sqref="J718"/>
    </sheetView>
  </sheetViews>
  <sheetFormatPr defaultRowHeight="15" outlineLevelRow="2" outlineLevelCol="1" x14ac:dyDescent="0.25"/>
  <cols>
    <col min="1" max="1" width="0.7109375" customWidth="1"/>
    <col min="2" max="2" width="92.28515625" customWidth="1"/>
    <col min="3" max="3" width="19.7109375" customWidth="1"/>
    <col min="4" max="4" width="7.5703125" bestFit="1" customWidth="1"/>
    <col min="5" max="5" width="19.42578125" bestFit="1" customWidth="1"/>
    <col min="6" max="6" width="17.5703125" bestFit="1" customWidth="1"/>
    <col min="7" max="7" width="18.42578125" customWidth="1"/>
    <col min="8" max="14" width="17.5703125" customWidth="1"/>
    <col min="15" max="16" width="15.85546875" customWidth="1"/>
    <col min="17" max="18" width="14.7109375" customWidth="1"/>
    <col min="19" max="19" width="15.5703125" customWidth="1"/>
    <col min="20" max="20" width="15.140625" customWidth="1" outlineLevel="1"/>
    <col min="21" max="21" width="19.28515625" customWidth="1" outlineLevel="1"/>
    <col min="22" max="22" width="14.42578125" customWidth="1"/>
    <col min="23" max="23" width="12.140625" customWidth="1"/>
    <col min="24" max="24" width="12.85546875" customWidth="1" outlineLevel="1"/>
    <col min="25" max="25" width="12.7109375" customWidth="1" outlineLevel="1"/>
    <col min="26" max="29" width="12.5703125" customWidth="1"/>
  </cols>
  <sheetData>
    <row r="1" spans="2:17" ht="55.15" customHeight="1" x14ac:dyDescent="0.25">
      <c r="B1" s="570" t="s">
        <v>312</v>
      </c>
      <c r="C1" s="570"/>
      <c r="D1" s="570"/>
      <c r="E1" s="570"/>
      <c r="F1" s="570"/>
      <c r="G1" s="80"/>
      <c r="H1" s="80"/>
    </row>
    <row r="2" spans="2:17" ht="62.45" customHeight="1" x14ac:dyDescent="0.25">
      <c r="B2" s="571" t="s">
        <v>313</v>
      </c>
      <c r="C2" s="571"/>
      <c r="D2" s="571"/>
      <c r="E2" s="571"/>
      <c r="F2" s="571"/>
      <c r="G2" s="81"/>
      <c r="H2" s="81"/>
    </row>
    <row r="3" spans="2:17" ht="8.1" customHeight="1" x14ac:dyDescent="0.25">
      <c r="B3" s="82"/>
      <c r="C3" s="81"/>
      <c r="D3" s="81"/>
      <c r="E3" s="81"/>
      <c r="F3" s="81"/>
      <c r="G3" s="81"/>
      <c r="H3" s="81"/>
    </row>
    <row r="4" spans="2:17" ht="31.9" customHeight="1" x14ac:dyDescent="0.25">
      <c r="B4" s="572" t="s">
        <v>314</v>
      </c>
      <c r="C4" s="572"/>
      <c r="D4" s="572"/>
      <c r="E4" s="572"/>
      <c r="F4" s="572"/>
      <c r="G4" s="532" t="s">
        <v>227</v>
      </c>
    </row>
    <row r="5" spans="2:17" ht="21" customHeight="1" thickBot="1" x14ac:dyDescent="0.3">
      <c r="B5" s="14" t="s">
        <v>228</v>
      </c>
      <c r="C5" s="3"/>
      <c r="D5" s="3"/>
      <c r="E5" s="3"/>
      <c r="F5" s="16"/>
      <c r="G5" s="545" t="s">
        <v>320</v>
      </c>
      <c r="H5" s="599" t="s">
        <v>321</v>
      </c>
      <c r="I5" s="599"/>
    </row>
    <row r="6" spans="2:17" ht="15" customHeight="1" thickBot="1" x14ac:dyDescent="0.3">
      <c r="B6" s="326" t="s">
        <v>315</v>
      </c>
      <c r="C6" s="21"/>
      <c r="D6" s="2"/>
      <c r="E6" s="20"/>
      <c r="F6" s="39"/>
      <c r="G6" s="330"/>
      <c r="H6" s="328"/>
      <c r="I6" s="327"/>
    </row>
    <row r="7" spans="2:17" ht="15" customHeight="1" x14ac:dyDescent="0.25">
      <c r="B7" s="326"/>
      <c r="C7" s="21"/>
      <c r="D7" s="2"/>
      <c r="E7" s="20"/>
      <c r="F7" s="39"/>
      <c r="G7" s="39"/>
      <c r="H7" s="329"/>
    </row>
    <row r="8" spans="2:17" ht="15" customHeight="1" x14ac:dyDescent="0.25">
      <c r="B8" s="78"/>
      <c r="C8" s="21"/>
      <c r="D8" s="2"/>
      <c r="E8" s="20"/>
      <c r="F8" s="39"/>
      <c r="G8" s="39"/>
      <c r="H8" s="39"/>
    </row>
    <row r="9" spans="2:17" ht="131.44999999999999" customHeight="1" x14ac:dyDescent="0.25">
      <c r="B9" s="573" t="s">
        <v>316</v>
      </c>
      <c r="C9" s="573"/>
      <c r="D9" s="2"/>
      <c r="E9" s="596" t="s">
        <v>317</v>
      </c>
      <c r="F9" s="596"/>
      <c r="G9" s="99"/>
      <c r="H9" s="99"/>
      <c r="I9" s="99"/>
      <c r="J9" s="99"/>
      <c r="K9" s="177"/>
      <c r="L9" s="111"/>
    </row>
    <row r="10" spans="2:17" ht="15.75" x14ac:dyDescent="0.25">
      <c r="B10" s="2"/>
      <c r="C10" s="1"/>
      <c r="D10" s="2"/>
      <c r="E10" s="544" t="s">
        <v>318</v>
      </c>
      <c r="F10" s="544" t="s">
        <v>319</v>
      </c>
      <c r="G10" s="99"/>
      <c r="H10" s="99"/>
      <c r="I10" s="99"/>
      <c r="J10" s="99"/>
      <c r="K10" s="99"/>
      <c r="L10" s="99"/>
      <c r="M10" s="99"/>
      <c r="N10" s="99"/>
      <c r="O10" s="99"/>
      <c r="P10" s="99"/>
      <c r="Q10" s="99"/>
    </row>
    <row r="11" spans="2:17" ht="16.149999999999999" customHeight="1" x14ac:dyDescent="0.25">
      <c r="B11" s="546" t="s">
        <v>325</v>
      </c>
      <c r="C11" s="196" t="s">
        <v>1</v>
      </c>
      <c r="D11" s="22"/>
      <c r="E11" s="197">
        <f>E12+E13+E14</f>
        <v>64166.999999999993</v>
      </c>
      <c r="F11" s="485">
        <f t="shared" ref="F11" si="0">F12+F13+F14</f>
        <v>67010.999999999985</v>
      </c>
      <c r="G11" s="99"/>
      <c r="H11" s="99"/>
      <c r="I11" s="99"/>
      <c r="J11" s="486"/>
      <c r="K11" s="99"/>
      <c r="L11" s="99"/>
      <c r="M11" s="99"/>
      <c r="N11" s="99"/>
      <c r="O11" s="99"/>
      <c r="P11" s="99"/>
      <c r="Q11" s="99"/>
    </row>
    <row r="12" spans="2:17" ht="16.149999999999999" customHeight="1" x14ac:dyDescent="0.25">
      <c r="B12" s="291" t="s">
        <v>322</v>
      </c>
      <c r="C12" s="178" t="s">
        <v>1</v>
      </c>
      <c r="D12" s="22"/>
      <c r="E12" s="210">
        <f>E25</f>
        <v>61283.959999999992</v>
      </c>
      <c r="F12" s="210">
        <f t="shared" ref="F12" si="1">F25</f>
        <v>69017.329999999987</v>
      </c>
      <c r="G12" s="99"/>
      <c r="H12" s="99"/>
      <c r="I12" s="99"/>
      <c r="J12" s="487"/>
      <c r="K12" s="99"/>
      <c r="L12" s="99"/>
      <c r="M12" s="99"/>
      <c r="N12" s="99"/>
      <c r="O12" s="99"/>
      <c r="P12" s="99"/>
      <c r="Q12" s="99"/>
    </row>
    <row r="13" spans="2:17" ht="16.149999999999999" customHeight="1" x14ac:dyDescent="0.25">
      <c r="B13" s="291" t="s">
        <v>323</v>
      </c>
      <c r="C13" s="178" t="s">
        <v>1</v>
      </c>
      <c r="D13" s="23"/>
      <c r="E13" s="211">
        <v>-10866.96</v>
      </c>
      <c r="F13" s="211">
        <v>-7506.33</v>
      </c>
      <c r="G13" s="99"/>
      <c r="H13" s="99"/>
      <c r="I13" s="99"/>
      <c r="J13" s="487"/>
      <c r="K13" s="99"/>
      <c r="L13" s="99"/>
      <c r="M13" s="99"/>
      <c r="N13" s="99"/>
      <c r="O13" s="99"/>
      <c r="P13" s="99"/>
      <c r="Q13" s="99"/>
    </row>
    <row r="14" spans="2:17" ht="16.149999999999999" customHeight="1" x14ac:dyDescent="0.25">
      <c r="B14" s="291" t="s">
        <v>324</v>
      </c>
      <c r="C14" s="178" t="s">
        <v>1</v>
      </c>
      <c r="D14" s="23"/>
      <c r="E14" s="211">
        <v>13750</v>
      </c>
      <c r="F14" s="211">
        <v>5500</v>
      </c>
      <c r="G14" s="99"/>
      <c r="H14" s="99"/>
      <c r="I14" s="99"/>
      <c r="J14" s="487"/>
      <c r="K14" s="488"/>
      <c r="L14" s="99"/>
      <c r="M14" s="99"/>
      <c r="N14" s="99"/>
      <c r="O14" s="99"/>
      <c r="P14" s="99"/>
      <c r="Q14" s="99"/>
    </row>
    <row r="15" spans="2:17" ht="16.149999999999999" customHeight="1" x14ac:dyDescent="0.25">
      <c r="B15" s="19"/>
      <c r="C15" s="11"/>
      <c r="D15" s="23"/>
      <c r="E15" s="212"/>
      <c r="F15" s="212"/>
      <c r="G15" s="99"/>
      <c r="H15" s="99"/>
      <c r="I15" s="99"/>
      <c r="J15" s="99"/>
      <c r="K15" s="99"/>
      <c r="L15" s="99"/>
      <c r="M15" s="99"/>
      <c r="N15" s="99"/>
      <c r="O15" s="99"/>
      <c r="P15" s="99"/>
      <c r="Q15" s="99"/>
    </row>
    <row r="16" spans="2:17" ht="30" customHeight="1" x14ac:dyDescent="0.25">
      <c r="B16" s="531" t="s">
        <v>326</v>
      </c>
      <c r="C16" s="196" t="s">
        <v>1</v>
      </c>
      <c r="D16" s="22"/>
      <c r="E16" s="197">
        <v>0</v>
      </c>
      <c r="F16" s="197">
        <v>0</v>
      </c>
      <c r="G16" s="99"/>
      <c r="H16" s="99"/>
      <c r="I16" s="99"/>
      <c r="J16" s="99"/>
      <c r="K16" s="99"/>
      <c r="L16" s="99"/>
      <c r="M16" s="99"/>
      <c r="N16" s="99"/>
      <c r="O16" s="99"/>
      <c r="P16" s="99"/>
      <c r="Q16" s="99"/>
    </row>
    <row r="17" spans="1:21" ht="16.149999999999999" customHeight="1" x14ac:dyDescent="0.25">
      <c r="B17" s="179" t="s">
        <v>327</v>
      </c>
      <c r="C17" s="178" t="s">
        <v>1</v>
      </c>
      <c r="D17" s="23"/>
      <c r="E17" s="213">
        <f>E20*E98/(E98+E99)</f>
        <v>906.76245934238432</v>
      </c>
      <c r="F17" s="213">
        <f>F20*F98/(F98+F99)</f>
        <v>187.81965393157734</v>
      </c>
      <c r="G17" s="99"/>
      <c r="H17" s="99"/>
      <c r="I17" s="99"/>
      <c r="J17" s="99"/>
      <c r="K17" s="99"/>
      <c r="L17" s="99"/>
      <c r="M17" s="99"/>
      <c r="N17" s="99"/>
      <c r="O17" s="99"/>
      <c r="P17" s="99"/>
      <c r="Q17" s="99"/>
    </row>
    <row r="18" spans="1:21" ht="16.149999999999999" customHeight="1" x14ac:dyDescent="0.25">
      <c r="B18" s="179" t="s">
        <v>328</v>
      </c>
      <c r="C18" s="178" t="s">
        <v>1</v>
      </c>
      <c r="D18" s="23"/>
      <c r="E18" s="213">
        <f>E20*E99/(E99+E98)</f>
        <v>922.30002225581688</v>
      </c>
      <c r="F18" s="213">
        <f>F20*F99/(F99+F98)</f>
        <v>310.68047840646955</v>
      </c>
      <c r="G18" s="99"/>
      <c r="H18" s="99"/>
      <c r="I18" s="99"/>
      <c r="J18" s="99"/>
      <c r="K18" s="99"/>
      <c r="L18" s="99"/>
      <c r="M18" s="99"/>
      <c r="N18" s="99"/>
      <c r="O18" s="99"/>
      <c r="P18" s="99"/>
      <c r="Q18" s="99"/>
    </row>
    <row r="19" spans="1:21" ht="16.149999999999999" customHeight="1" x14ac:dyDescent="0.25">
      <c r="B19" s="179" t="s">
        <v>329</v>
      </c>
      <c r="C19" s="178" t="s">
        <v>1</v>
      </c>
      <c r="D19" s="23"/>
      <c r="E19" s="214">
        <f>+-E20</f>
        <v>-1829.062481598201</v>
      </c>
      <c r="F19" s="214">
        <f>-F20</f>
        <v>-498.5001323380468</v>
      </c>
      <c r="G19" s="99"/>
      <c r="H19" s="99"/>
      <c r="I19" s="99"/>
      <c r="J19" s="99"/>
      <c r="K19" s="99"/>
      <c r="L19" s="99"/>
      <c r="M19" s="99"/>
      <c r="N19" s="99"/>
      <c r="O19" s="99"/>
      <c r="P19" s="99"/>
      <c r="Q19" s="99"/>
    </row>
    <row r="20" spans="1:21" ht="16.149999999999999" customHeight="1" x14ac:dyDescent="0.25">
      <c r="B20" s="179" t="s">
        <v>409</v>
      </c>
      <c r="C20" s="178"/>
      <c r="D20" s="23"/>
      <c r="E20" s="211">
        <f>+E21+E22+E23</f>
        <v>1829.062481598201</v>
      </c>
      <c r="F20" s="211">
        <f>+F23-E23</f>
        <v>498.5001323380468</v>
      </c>
      <c r="G20" s="99"/>
      <c r="H20" s="99"/>
      <c r="I20" s="99"/>
      <c r="J20" s="99"/>
      <c r="K20" s="99"/>
      <c r="L20" s="99"/>
      <c r="M20" s="99"/>
      <c r="N20" s="99"/>
      <c r="O20" s="99"/>
      <c r="P20" s="99"/>
      <c r="Q20" s="99"/>
    </row>
    <row r="21" spans="1:21" ht="16.149999999999999" customHeight="1" x14ac:dyDescent="0.25">
      <c r="A21" s="99"/>
      <c r="B21" s="179" t="s">
        <v>411</v>
      </c>
      <c r="C21" s="178" t="s">
        <v>1</v>
      </c>
      <c r="D21" s="23"/>
      <c r="E21" s="214">
        <v>294.14130098174979</v>
      </c>
      <c r="F21" s="214"/>
      <c r="G21" s="484"/>
      <c r="H21" s="99"/>
      <c r="I21" s="99"/>
      <c r="J21" s="99"/>
      <c r="K21" s="99"/>
      <c r="L21" s="99"/>
      <c r="M21" s="99"/>
      <c r="N21" s="99"/>
      <c r="O21" s="99"/>
      <c r="P21" s="99"/>
      <c r="Q21" s="99"/>
    </row>
    <row r="22" spans="1:21" x14ac:dyDescent="0.25">
      <c r="B22" s="179" t="s">
        <v>410</v>
      </c>
      <c r="C22" s="178" t="s">
        <v>1</v>
      </c>
      <c r="E22" s="483">
        <f>+((142.77-35.69)*35643.2023712329/1000*(7832.87/(7832.87+115105.03)-7370.07698630137/(7370.07698630137+88612.6160263562)))</f>
        <v>-49.889428566501209</v>
      </c>
      <c r="F22" s="214"/>
      <c r="G22" s="99"/>
      <c r="H22" s="99"/>
      <c r="I22" s="99"/>
      <c r="J22" s="99"/>
      <c r="K22" s="99"/>
      <c r="L22" s="99"/>
      <c r="M22" s="99"/>
      <c r="N22" s="99"/>
      <c r="O22" s="99"/>
      <c r="P22" s="99"/>
      <c r="Q22" s="99"/>
    </row>
    <row r="23" spans="1:21" ht="29.25" customHeight="1" x14ac:dyDescent="0.25">
      <c r="B23" s="568" t="s">
        <v>412</v>
      </c>
      <c r="C23" s="178" t="s">
        <v>1</v>
      </c>
      <c r="E23" s="214">
        <f>+(142.77-142.77*0.25)*60763.4036185144/1000*((10413676/6277847.07333333*24956.9732357301+6792200/523431*2738.13332328323)/(10413676/6277847.07333333*24956.9732357301+20571368/23252511.026*105902.092917539+6792200/523431*2738.13332328323)-(24956.9732357301+2738.13332328323)/(24956.9732357301+105902.092917539+2738.13332328323))</f>
        <v>1584.8106091829525</v>
      </c>
      <c r="F23" s="214">
        <f>+(142.77-142.77*0.25)*60763.4036185144/1000*((73840.2230207305+28556.9604167919)/(73840.2230207305+91721.6377630208+28556.9604167919)-(24956.9732357301+2738.13332328323)/(24956.9732357301+105902.092917539+2738.13332328323))</f>
        <v>2083.3107415209993</v>
      </c>
      <c r="G23" s="99"/>
      <c r="H23" s="99"/>
      <c r="I23" s="99"/>
      <c r="J23" s="99"/>
      <c r="K23" s="99"/>
      <c r="L23" s="99"/>
      <c r="M23" s="99"/>
      <c r="N23" s="99"/>
      <c r="O23" s="99"/>
      <c r="P23" s="99"/>
      <c r="Q23" s="99"/>
    </row>
    <row r="24" spans="1:21" ht="16.149999999999999" customHeight="1" x14ac:dyDescent="0.25">
      <c r="B24" s="12"/>
      <c r="C24" s="11"/>
      <c r="D24" s="23"/>
      <c r="E24" s="102"/>
      <c r="F24" s="102"/>
      <c r="G24" s="99"/>
      <c r="O24" s="85"/>
      <c r="P24" s="85"/>
      <c r="Q24" s="74"/>
    </row>
    <row r="25" spans="1:21" ht="16.149999999999999" customHeight="1" x14ac:dyDescent="0.25">
      <c r="B25" s="531" t="s">
        <v>330</v>
      </c>
      <c r="C25" s="196" t="s">
        <v>1</v>
      </c>
      <c r="D25" s="22"/>
      <c r="E25" s="336">
        <f>E26+E28</f>
        <v>61283.959999999992</v>
      </c>
      <c r="F25" s="336">
        <f t="shared" ref="F25" si="2">F26+F28</f>
        <v>69017.329999999987</v>
      </c>
      <c r="G25" s="99"/>
      <c r="O25" s="85"/>
      <c r="P25" s="85"/>
      <c r="Q25" s="74"/>
    </row>
    <row r="26" spans="1:21" ht="25.5" x14ac:dyDescent="0.25">
      <c r="B26" s="547" t="s">
        <v>331</v>
      </c>
      <c r="C26" s="178" t="s">
        <v>1</v>
      </c>
      <c r="D26" s="24"/>
      <c r="E26" s="201">
        <v>41364.908109259908</v>
      </c>
      <c r="F26" s="201">
        <v>55566.797349652676</v>
      </c>
      <c r="G26" s="99"/>
      <c r="O26" s="172"/>
      <c r="P26" s="172"/>
      <c r="Q26" s="74"/>
    </row>
    <row r="27" spans="1:21" ht="15" customHeight="1" x14ac:dyDescent="0.25">
      <c r="B27" s="548" t="s">
        <v>332</v>
      </c>
      <c r="C27" s="180" t="s">
        <v>1</v>
      </c>
      <c r="D27" s="24"/>
      <c r="E27" s="202">
        <v>11442.758001640294</v>
      </c>
      <c r="F27" s="202">
        <v>12868.139507607309</v>
      </c>
      <c r="G27" s="99"/>
    </row>
    <row r="28" spans="1:21" ht="27.6" customHeight="1" x14ac:dyDescent="0.25">
      <c r="B28" s="291" t="s">
        <v>333</v>
      </c>
      <c r="C28" s="178" t="s">
        <v>1</v>
      </c>
      <c r="D28" s="24"/>
      <c r="E28" s="201">
        <v>19919.051890740084</v>
      </c>
      <c r="F28" s="201">
        <v>13450.532650347319</v>
      </c>
      <c r="G28" s="99"/>
      <c r="R28" s="73"/>
      <c r="S28" s="73"/>
      <c r="T28" s="73"/>
      <c r="U28" s="4"/>
    </row>
    <row r="29" spans="1:21" ht="15" customHeight="1" x14ac:dyDescent="0.25">
      <c r="B29" s="549" t="s">
        <v>334</v>
      </c>
      <c r="C29" s="180" t="s">
        <v>1</v>
      </c>
      <c r="D29" s="24"/>
      <c r="E29" s="204">
        <v>1142.3784791798835</v>
      </c>
      <c r="F29" s="204">
        <v>745.08210152363677</v>
      </c>
      <c r="G29" s="99"/>
      <c r="R29" s="74"/>
      <c r="S29" s="74"/>
      <c r="T29" s="74"/>
      <c r="U29" s="74"/>
    </row>
    <row r="30" spans="1:21" ht="15" customHeight="1" x14ac:dyDescent="0.25">
      <c r="B30" s="549" t="s">
        <v>335</v>
      </c>
      <c r="C30" s="180" t="s">
        <v>1</v>
      </c>
      <c r="D30" s="24"/>
      <c r="E30" s="203">
        <f t="shared" ref="E30" si="3">+E28-E29</f>
        <v>18776.673411560201</v>
      </c>
      <c r="F30" s="203">
        <f>+F28-F29</f>
        <v>12705.450548823683</v>
      </c>
      <c r="G30" s="99"/>
      <c r="R30" s="74"/>
      <c r="S30" s="74"/>
      <c r="T30" s="74"/>
      <c r="U30" s="74"/>
    </row>
    <row r="31" spans="1:21" ht="15" customHeight="1" x14ac:dyDescent="0.25">
      <c r="B31" s="550" t="s">
        <v>336</v>
      </c>
      <c r="C31" s="180" t="s">
        <v>1</v>
      </c>
      <c r="D31" s="24"/>
      <c r="E31" s="200">
        <f>+E32+E33</f>
        <v>13943.336323518059</v>
      </c>
      <c r="F31" s="200">
        <f t="shared" ref="F31" si="4">+F32+F33</f>
        <v>9415.3728552431239</v>
      </c>
      <c r="G31" s="99"/>
      <c r="R31" s="74"/>
      <c r="S31" s="74"/>
      <c r="T31" s="74"/>
      <c r="U31" s="74"/>
    </row>
    <row r="32" spans="1:21" ht="15" customHeight="1" x14ac:dyDescent="0.25">
      <c r="B32" s="548" t="s">
        <v>337</v>
      </c>
      <c r="C32" s="180" t="s">
        <v>1</v>
      </c>
      <c r="D32" s="24"/>
      <c r="E32" s="203">
        <f>E29*E37</f>
        <v>799.66493542591843</v>
      </c>
      <c r="F32" s="203">
        <f t="shared" ref="F32" si="5">F29*F37</f>
        <v>521.55747106654576</v>
      </c>
      <c r="G32" s="99"/>
      <c r="R32" s="74"/>
      <c r="S32" s="74"/>
      <c r="T32" s="74"/>
      <c r="U32" s="74"/>
    </row>
    <row r="33" spans="2:21" x14ac:dyDescent="0.25">
      <c r="B33" s="548" t="s">
        <v>338</v>
      </c>
      <c r="C33" s="180" t="s">
        <v>1</v>
      </c>
      <c r="D33" s="24"/>
      <c r="E33" s="203">
        <f>+E30*E37</f>
        <v>13143.67138809214</v>
      </c>
      <c r="F33" s="203">
        <f t="shared" ref="F33" si="6">+F30*F37</f>
        <v>8893.8153841765779</v>
      </c>
      <c r="G33" s="99"/>
      <c r="O33" s="61"/>
      <c r="P33" s="61"/>
      <c r="Q33" s="62"/>
      <c r="R33" s="62"/>
      <c r="S33" s="61"/>
      <c r="T33" s="62"/>
      <c r="U33" s="4"/>
    </row>
    <row r="34" spans="2:21" ht="15" customHeight="1" x14ac:dyDescent="0.25">
      <c r="B34" s="550" t="s">
        <v>339</v>
      </c>
      <c r="C34" s="180" t="s">
        <v>1</v>
      </c>
      <c r="D34" s="24"/>
      <c r="E34" s="200">
        <f>+E35+E36</f>
        <v>5975.7155672220269</v>
      </c>
      <c r="F34" s="200">
        <f t="shared" ref="F34" si="7">+F35+F36</f>
        <v>4035.1597951041958</v>
      </c>
      <c r="G34" s="99"/>
      <c r="O34" s="73"/>
      <c r="P34" s="73"/>
      <c r="Q34" s="74"/>
      <c r="R34" s="74"/>
      <c r="S34" s="74"/>
      <c r="T34" s="74"/>
      <c r="U34" s="74"/>
    </row>
    <row r="35" spans="2:21" ht="15" customHeight="1" x14ac:dyDescent="0.25">
      <c r="B35" s="548" t="s">
        <v>334</v>
      </c>
      <c r="C35" s="180" t="s">
        <v>1</v>
      </c>
      <c r="D35" s="24"/>
      <c r="E35" s="203">
        <f>+E29-E32</f>
        <v>342.71354375396504</v>
      </c>
      <c r="F35" s="203">
        <f t="shared" ref="F35" si="8">+F29-F32</f>
        <v>223.52463045709101</v>
      </c>
      <c r="G35" s="99"/>
      <c r="O35" s="73"/>
      <c r="P35" s="73"/>
      <c r="Q35" s="74"/>
      <c r="R35" s="74"/>
      <c r="S35" s="74"/>
      <c r="T35" s="74"/>
      <c r="U35" s="74"/>
    </row>
    <row r="36" spans="2:21" x14ac:dyDescent="0.25">
      <c r="B36" s="548" t="s">
        <v>335</v>
      </c>
      <c r="C36" s="180" t="s">
        <v>1</v>
      </c>
      <c r="D36" s="24"/>
      <c r="E36" s="203">
        <f>+E30-E33</f>
        <v>5633.0020234680615</v>
      </c>
      <c r="F36" s="203">
        <f t="shared" ref="F36" si="9">+F30-F33</f>
        <v>3811.6351646471048</v>
      </c>
      <c r="G36" s="99"/>
      <c r="O36" s="61"/>
      <c r="P36" s="61"/>
      <c r="Q36" s="62"/>
      <c r="R36" s="62"/>
      <c r="S36" s="61"/>
      <c r="T36" s="62"/>
      <c r="U36" s="4"/>
    </row>
    <row r="37" spans="2:21" x14ac:dyDescent="0.25">
      <c r="B37" s="548" t="s">
        <v>340</v>
      </c>
      <c r="C37" s="180" t="s">
        <v>0</v>
      </c>
      <c r="D37" s="37"/>
      <c r="E37" s="205">
        <v>0.7</v>
      </c>
      <c r="F37" s="205">
        <v>0.7</v>
      </c>
      <c r="G37" s="99"/>
    </row>
    <row r="38" spans="2:21" x14ac:dyDescent="0.25">
      <c r="B38" s="548" t="s">
        <v>339</v>
      </c>
      <c r="C38" s="180" t="s">
        <v>0</v>
      </c>
      <c r="D38" s="37"/>
      <c r="E38" s="206">
        <f>1-E37</f>
        <v>0.30000000000000004</v>
      </c>
      <c r="F38" s="206">
        <f t="shared" ref="F38" si="10">1-F37</f>
        <v>0.30000000000000004</v>
      </c>
      <c r="G38" s="99"/>
    </row>
    <row r="39" spans="2:21" x14ac:dyDescent="0.25">
      <c r="B39" s="75"/>
      <c r="C39" s="15"/>
      <c r="D39" s="76"/>
      <c r="E39" s="207"/>
      <c r="F39" s="207"/>
      <c r="G39" s="99"/>
    </row>
    <row r="40" spans="2:21" outlineLevel="2" x14ac:dyDescent="0.25">
      <c r="B40" s="551" t="s">
        <v>341</v>
      </c>
      <c r="C40" s="178" t="s">
        <v>1</v>
      </c>
      <c r="D40" s="76"/>
      <c r="E40" s="200">
        <f t="shared" ref="E40:F40" si="11">E41+E43</f>
        <v>-10866.96</v>
      </c>
      <c r="F40" s="200">
        <f t="shared" si="11"/>
        <v>-7506.33</v>
      </c>
      <c r="G40" s="99"/>
    </row>
    <row r="41" spans="2:21" outlineLevel="2" x14ac:dyDescent="0.25">
      <c r="B41" s="574" t="s">
        <v>342</v>
      </c>
      <c r="C41" s="180" t="s">
        <v>1</v>
      </c>
      <c r="D41" s="22"/>
      <c r="E41" s="203">
        <f>E13*E42</f>
        <v>-3518.0706121712851</v>
      </c>
      <c r="F41" s="203">
        <f>F13*F42</f>
        <v>-3361.0512332800954</v>
      </c>
      <c r="G41" s="99"/>
    </row>
    <row r="42" spans="2:21" outlineLevel="2" x14ac:dyDescent="0.25">
      <c r="B42" s="574"/>
      <c r="C42" s="180" t="s">
        <v>0</v>
      </c>
      <c r="D42" s="22"/>
      <c r="E42" s="208">
        <f>1-E44</f>
        <v>0.32374009034461204</v>
      </c>
      <c r="F42" s="208">
        <f t="shared" ref="F42" si="12">1-F44</f>
        <v>0.44776225309573325</v>
      </c>
      <c r="G42" s="99"/>
    </row>
    <row r="43" spans="2:21" outlineLevel="2" x14ac:dyDescent="0.25">
      <c r="B43" s="574" t="s">
        <v>343</v>
      </c>
      <c r="C43" s="180" t="s">
        <v>1</v>
      </c>
      <c r="D43" s="22"/>
      <c r="E43" s="203">
        <f>E13*E44</f>
        <v>-7348.8893878287145</v>
      </c>
      <c r="F43" s="203">
        <f>F13*F44</f>
        <v>-4145.2787667199045</v>
      </c>
      <c r="G43" s="99"/>
    </row>
    <row r="44" spans="2:21" outlineLevel="2" x14ac:dyDescent="0.25">
      <c r="B44" s="574"/>
      <c r="C44" s="180" t="s">
        <v>0</v>
      </c>
      <c r="D44" s="22"/>
      <c r="E44" s="208">
        <f>E28/(E28+((E69*E76+(E120-E124)*E94/1000)/(E98+E101+E99)*1000)*E101/1000+E14*E101/(E101+E98+E99))</f>
        <v>0.67625990965538796</v>
      </c>
      <c r="F44" s="208">
        <f>F28/(F28+((F69*F76+(F120-F124)*F94/1000)/(F98+F101+F99)*1000)*F101/1000+F14*F101/(F101+F98+F99))</f>
        <v>0.55223774690426675</v>
      </c>
      <c r="G44" s="99"/>
    </row>
    <row r="45" spans="2:21" outlineLevel="2" x14ac:dyDescent="0.25">
      <c r="B45" s="75"/>
      <c r="C45" s="15"/>
      <c r="D45" s="76"/>
      <c r="G45" s="99"/>
    </row>
    <row r="46" spans="2:21" x14ac:dyDescent="0.25">
      <c r="B46" s="531" t="s">
        <v>344</v>
      </c>
      <c r="C46" s="196" t="s">
        <v>1</v>
      </c>
      <c r="D46" s="22"/>
      <c r="E46" s="197">
        <f>E47+E49</f>
        <v>50416.999999999993</v>
      </c>
      <c r="F46" s="197">
        <f t="shared" ref="F46" si="13">F47+F49</f>
        <v>61511</v>
      </c>
      <c r="G46" s="99"/>
    </row>
    <row r="47" spans="2:21" ht="25.5" x14ac:dyDescent="0.25">
      <c r="B47" s="547" t="s">
        <v>345</v>
      </c>
      <c r="C47" s="178" t="s">
        <v>1</v>
      </c>
      <c r="D47" s="24"/>
      <c r="E47" s="215">
        <f>E26+E41</f>
        <v>37846.837497088622</v>
      </c>
      <c r="F47" s="215">
        <f t="shared" ref="F47" si="14">F26+F41</f>
        <v>52205.746116372582</v>
      </c>
      <c r="G47" s="99"/>
    </row>
    <row r="48" spans="2:21" x14ac:dyDescent="0.25">
      <c r="B48" s="548" t="s">
        <v>332</v>
      </c>
      <c r="C48" s="180" t="s">
        <v>1</v>
      </c>
      <c r="D48" s="24"/>
      <c r="E48" s="213">
        <f>E27</f>
        <v>11442.758001640294</v>
      </c>
      <c r="F48" s="213">
        <f t="shared" ref="F48" si="15">F27</f>
        <v>12868.139507607309</v>
      </c>
      <c r="G48" s="99"/>
    </row>
    <row r="49" spans="2:14" x14ac:dyDescent="0.25">
      <c r="B49" s="291" t="s">
        <v>333</v>
      </c>
      <c r="C49" s="178" t="s">
        <v>1</v>
      </c>
      <c r="D49" s="24"/>
      <c r="E49" s="215">
        <f>E28+E43</f>
        <v>12570.162502911369</v>
      </c>
      <c r="F49" s="215">
        <f t="shared" ref="F49" si="16">F28+F43</f>
        <v>9305.2538836274143</v>
      </c>
      <c r="G49" s="99"/>
    </row>
    <row r="50" spans="2:14" x14ac:dyDescent="0.25">
      <c r="B50" s="549" t="s">
        <v>334</v>
      </c>
      <c r="C50" s="180" t="s">
        <v>1</v>
      </c>
      <c r="D50" s="24"/>
      <c r="E50" s="209">
        <f>E49/E28*E29</f>
        <v>720.9119792391059</v>
      </c>
      <c r="F50" s="209">
        <f t="shared" ref="F50" si="17">F49/F28*F29</f>
        <v>515.45751376954343</v>
      </c>
      <c r="G50" s="99"/>
    </row>
    <row r="51" spans="2:14" x14ac:dyDescent="0.25">
      <c r="B51" s="549" t="s">
        <v>335</v>
      </c>
      <c r="C51" s="180" t="s">
        <v>1</v>
      </c>
      <c r="D51" s="24"/>
      <c r="E51" s="209">
        <f>+E49-E50</f>
        <v>11849.250523672263</v>
      </c>
      <c r="F51" s="209">
        <f t="shared" ref="F51" si="18">+F49-F50</f>
        <v>8789.7963698578715</v>
      </c>
      <c r="G51" s="99"/>
    </row>
    <row r="52" spans="2:14" x14ac:dyDescent="0.25">
      <c r="B52" s="291" t="s">
        <v>346</v>
      </c>
      <c r="C52" s="178" t="s">
        <v>1</v>
      </c>
      <c r="E52" s="215">
        <f>+E53+E54</f>
        <v>8799.113752037958</v>
      </c>
      <c r="F52" s="215">
        <f t="shared" ref="F52" si="19">+F53+F54</f>
        <v>6513.6777185391893</v>
      </c>
      <c r="G52" s="99"/>
    </row>
    <row r="53" spans="2:14" x14ac:dyDescent="0.25">
      <c r="B53" s="548" t="s">
        <v>338</v>
      </c>
      <c r="C53" s="180" t="s">
        <v>1</v>
      </c>
      <c r="D53" s="37"/>
      <c r="E53" s="216">
        <f>E51*E37</f>
        <v>8294.475366570583</v>
      </c>
      <c r="F53" s="216">
        <f t="shared" ref="F53" si="20">F51*F37</f>
        <v>6152.8574589005093</v>
      </c>
      <c r="G53" s="99"/>
    </row>
    <row r="54" spans="2:14" x14ac:dyDescent="0.25">
      <c r="B54" s="548" t="s">
        <v>337</v>
      </c>
      <c r="C54" s="180" t="s">
        <v>1</v>
      </c>
      <c r="D54" s="37"/>
      <c r="E54" s="216">
        <f>E50*E37</f>
        <v>504.63838546737412</v>
      </c>
      <c r="F54" s="216">
        <f t="shared" ref="F54" si="21">F50*F37</f>
        <v>360.8202596386804</v>
      </c>
      <c r="G54" s="99"/>
      <c r="H54" s="99"/>
      <c r="I54" s="99"/>
      <c r="J54" s="99"/>
      <c r="K54" s="4"/>
      <c r="L54" s="4"/>
      <c r="N54" s="101"/>
    </row>
    <row r="55" spans="2:14" x14ac:dyDescent="0.25">
      <c r="B55" s="291" t="s">
        <v>347</v>
      </c>
      <c r="C55" s="180" t="s">
        <v>1</v>
      </c>
      <c r="D55" s="37"/>
      <c r="E55" s="215">
        <f>+E57+E56</f>
        <v>3771.0487508734113</v>
      </c>
      <c r="F55" s="215">
        <f t="shared" ref="F55" si="22">+F57+F56</f>
        <v>2791.576165088225</v>
      </c>
      <c r="G55" s="99"/>
      <c r="H55" s="99"/>
      <c r="I55" s="99"/>
      <c r="J55" s="99"/>
      <c r="K55" s="4"/>
      <c r="L55" s="4"/>
      <c r="N55" s="101"/>
    </row>
    <row r="56" spans="2:14" x14ac:dyDescent="0.25">
      <c r="B56" s="548" t="s">
        <v>348</v>
      </c>
      <c r="C56" s="180" t="s">
        <v>1</v>
      </c>
      <c r="D56" s="37"/>
      <c r="E56" s="216">
        <f>+E51-E53</f>
        <v>3554.7751571016797</v>
      </c>
      <c r="F56" s="216">
        <f t="shared" ref="F56" si="23">+F51-F53</f>
        <v>2636.9389109573622</v>
      </c>
      <c r="G56" s="99"/>
      <c r="H56" s="99"/>
      <c r="I56" s="99"/>
      <c r="J56" s="99"/>
      <c r="K56" s="4"/>
      <c r="L56" s="4"/>
    </row>
    <row r="57" spans="2:14" x14ac:dyDescent="0.25">
      <c r="B57" s="548" t="s">
        <v>349</v>
      </c>
      <c r="C57" s="180" t="s">
        <v>1</v>
      </c>
      <c r="D57" s="37"/>
      <c r="E57" s="216">
        <f>+E50-E54</f>
        <v>216.27359377173178</v>
      </c>
      <c r="F57" s="216">
        <f t="shared" ref="F57" si="24">+F50-F54</f>
        <v>154.63725413086303</v>
      </c>
      <c r="G57" s="99"/>
      <c r="H57" s="99"/>
      <c r="I57" s="99"/>
      <c r="J57" s="99"/>
      <c r="K57" s="4"/>
      <c r="L57" s="4"/>
    </row>
    <row r="58" spans="2:14" x14ac:dyDescent="0.25">
      <c r="B58" s="25"/>
      <c r="C58" s="15"/>
      <c r="D58" s="26"/>
      <c r="E58" s="60"/>
      <c r="F58" s="60"/>
      <c r="G58" s="99"/>
      <c r="H58" s="99"/>
      <c r="I58" s="99"/>
      <c r="J58" s="99"/>
      <c r="K58" s="4"/>
      <c r="L58" s="4"/>
    </row>
    <row r="59" spans="2:14" ht="35.450000000000003" hidden="1" customHeight="1" x14ac:dyDescent="0.25">
      <c r="B59" s="104" t="s">
        <v>72</v>
      </c>
      <c r="C59" s="6" t="s">
        <v>1</v>
      </c>
      <c r="D59" s="22"/>
      <c r="E59" s="60"/>
      <c r="F59" s="60"/>
      <c r="G59" s="99"/>
      <c r="H59" s="99"/>
      <c r="I59" s="99"/>
      <c r="J59" s="99"/>
      <c r="K59" s="4"/>
      <c r="L59" s="4"/>
    </row>
    <row r="60" spans="2:14" hidden="1" x14ac:dyDescent="0.25">
      <c r="B60" s="105" t="s">
        <v>73</v>
      </c>
      <c r="C60" s="7" t="s">
        <v>1</v>
      </c>
      <c r="D60" s="22"/>
      <c r="E60" s="60"/>
      <c r="F60" s="60"/>
      <c r="G60" s="99"/>
      <c r="H60" s="99"/>
      <c r="I60" s="99"/>
      <c r="J60" s="99"/>
      <c r="K60" s="4"/>
      <c r="L60" s="4"/>
    </row>
    <row r="61" spans="2:14" hidden="1" x14ac:dyDescent="0.25">
      <c r="B61" s="105" t="s">
        <v>74</v>
      </c>
      <c r="C61" s="7" t="s">
        <v>1</v>
      </c>
      <c r="D61" s="22"/>
      <c r="E61" s="60"/>
      <c r="F61" s="60"/>
      <c r="G61" s="99"/>
      <c r="H61" s="99"/>
      <c r="I61" s="99"/>
      <c r="J61" s="99"/>
      <c r="K61" s="4"/>
      <c r="L61" s="4"/>
    </row>
    <row r="62" spans="2:14" hidden="1" x14ac:dyDescent="0.25">
      <c r="B62" s="12"/>
      <c r="C62" s="11"/>
      <c r="D62" s="23"/>
      <c r="E62" s="60"/>
      <c r="F62" s="60"/>
      <c r="G62" s="99"/>
      <c r="H62" s="99"/>
      <c r="I62" s="99"/>
      <c r="J62" s="99"/>
      <c r="K62" s="63"/>
      <c r="L62" s="63"/>
    </row>
    <row r="63" spans="2:14" ht="25.5" x14ac:dyDescent="0.25">
      <c r="B63" s="531" t="s">
        <v>350</v>
      </c>
      <c r="C63" s="196" t="s">
        <v>1</v>
      </c>
      <c r="D63" s="22"/>
      <c r="E63" s="203"/>
      <c r="F63" s="203"/>
      <c r="G63" s="99"/>
      <c r="H63" s="99"/>
      <c r="I63" s="99"/>
      <c r="J63" s="99"/>
      <c r="K63" s="4"/>
      <c r="L63" s="4"/>
    </row>
    <row r="64" spans="2:14" x14ac:dyDescent="0.25">
      <c r="B64" s="531" t="s">
        <v>351</v>
      </c>
      <c r="C64" s="196" t="s">
        <v>1</v>
      </c>
      <c r="D64" s="22"/>
      <c r="E64" s="217">
        <f>E65+E66</f>
        <v>41364.908109259908</v>
      </c>
      <c r="F64" s="217">
        <f t="shared" ref="F64" si="25">F65+F66</f>
        <v>55566.797349652676</v>
      </c>
      <c r="G64" s="99"/>
      <c r="H64" s="99"/>
      <c r="I64" s="99"/>
      <c r="J64" s="99"/>
      <c r="K64" s="4"/>
      <c r="L64" s="4"/>
    </row>
    <row r="65" spans="2:13" x14ac:dyDescent="0.25">
      <c r="B65" s="548" t="s">
        <v>332</v>
      </c>
      <c r="C65" s="178" t="s">
        <v>1</v>
      </c>
      <c r="D65" s="22"/>
      <c r="E65" s="217">
        <f>E27</f>
        <v>11442.758001640294</v>
      </c>
      <c r="F65" s="217">
        <f t="shared" ref="F65" si="26">F27</f>
        <v>12868.139507607309</v>
      </c>
      <c r="G65" s="99"/>
      <c r="H65" s="99"/>
      <c r="I65" s="99"/>
      <c r="J65" s="99"/>
      <c r="K65" s="4"/>
      <c r="L65" s="4"/>
      <c r="M65" s="176"/>
    </row>
    <row r="66" spans="2:13" ht="16.149999999999999" customHeight="1" x14ac:dyDescent="0.25">
      <c r="B66" s="548" t="s">
        <v>352</v>
      </c>
      <c r="C66" s="178" t="s">
        <v>1</v>
      </c>
      <c r="D66" s="22"/>
      <c r="E66" s="217">
        <f>E26-E27</f>
        <v>29922.150107619615</v>
      </c>
      <c r="F66" s="217">
        <f t="shared" ref="F66" si="27">F26-F27</f>
        <v>42698.657842045366</v>
      </c>
      <c r="G66" s="99"/>
      <c r="H66" s="99"/>
      <c r="I66" s="99"/>
      <c r="J66" s="99"/>
      <c r="K66" s="4"/>
      <c r="L66" s="4"/>
    </row>
    <row r="67" spans="2:13" ht="15" customHeight="1" x14ac:dyDescent="0.25">
      <c r="B67" s="552"/>
      <c r="C67" s="178"/>
      <c r="D67" s="22"/>
      <c r="E67" s="218"/>
      <c r="F67" s="218"/>
      <c r="G67" s="99"/>
      <c r="H67" s="99"/>
      <c r="I67" s="99"/>
      <c r="J67" s="99"/>
      <c r="K67" s="4"/>
      <c r="L67" s="4"/>
      <c r="M67" s="176"/>
    </row>
    <row r="68" spans="2:13" ht="18.75" customHeight="1" x14ac:dyDescent="0.25">
      <c r="B68" s="548" t="s">
        <v>353</v>
      </c>
      <c r="C68" s="178" t="s">
        <v>1</v>
      </c>
      <c r="D68" s="24"/>
      <c r="E68" s="217">
        <f>E65-E71</f>
        <v>9026.3972111306339</v>
      </c>
      <c r="F68" s="217">
        <f t="shared" ref="F68" si="28">F65-F71</f>
        <v>8355.1260944627284</v>
      </c>
      <c r="G68" s="99"/>
      <c r="H68" s="99"/>
      <c r="I68" s="99"/>
      <c r="J68" s="99"/>
      <c r="K68" s="4"/>
      <c r="L68" s="4"/>
    </row>
    <row r="69" spans="2:13" ht="26.25" customHeight="1" x14ac:dyDescent="0.25">
      <c r="B69" s="548" t="s">
        <v>354</v>
      </c>
      <c r="C69" s="178" t="s">
        <v>1</v>
      </c>
      <c r="D69" s="24"/>
      <c r="E69" s="217">
        <f>E66-E72</f>
        <v>26210.114898129275</v>
      </c>
      <c r="F69" s="217">
        <f t="shared" ref="F69" si="29">F66-F72</f>
        <v>35716.418314804192</v>
      </c>
      <c r="G69" s="99"/>
      <c r="H69" s="99"/>
      <c r="I69" s="99"/>
      <c r="J69" s="99"/>
      <c r="K69" s="4"/>
      <c r="L69" s="4"/>
    </row>
    <row r="70" spans="2:13" ht="16.149999999999999" customHeight="1" x14ac:dyDescent="0.25">
      <c r="B70" s="552"/>
      <c r="C70" s="178"/>
      <c r="D70" s="24"/>
      <c r="E70" s="218"/>
      <c r="F70" s="218"/>
      <c r="G70" s="99"/>
      <c r="H70" s="99"/>
      <c r="I70" s="99"/>
      <c r="J70" s="99"/>
      <c r="K70" s="62"/>
      <c r="L70" s="4"/>
    </row>
    <row r="71" spans="2:13" ht="16.149999999999999" customHeight="1" x14ac:dyDescent="0.25">
      <c r="B71" s="548" t="s">
        <v>355</v>
      </c>
      <c r="C71" s="178" t="s">
        <v>1</v>
      </c>
      <c r="D71" s="24"/>
      <c r="E71" s="217">
        <f>IF(E80=0%,0,E109*E137/1000)</f>
        <v>2416.3607905096601</v>
      </c>
      <c r="F71" s="217">
        <f>IF(F80=0%,0,F109*F137/1000)</f>
        <v>4513.013413144582</v>
      </c>
      <c r="G71" s="99"/>
      <c r="H71" s="99"/>
      <c r="I71" s="99"/>
      <c r="J71" s="99"/>
      <c r="K71" s="62"/>
      <c r="L71" s="4"/>
    </row>
    <row r="72" spans="2:13" ht="29.25" customHeight="1" x14ac:dyDescent="0.25">
      <c r="B72" s="548" t="s">
        <v>356</v>
      </c>
      <c r="C72" s="178" t="s">
        <v>1</v>
      </c>
      <c r="D72" s="24"/>
      <c r="E72" s="217">
        <f>IF(E80=0%,0,(E106-E109)*E150/1000)</f>
        <v>3712.0352094903383</v>
      </c>
      <c r="F72" s="217">
        <f>IF(F80=0%,0,(F106-F109)*F150/1000)</f>
        <v>6982.2395272411704</v>
      </c>
      <c r="G72" s="99"/>
      <c r="H72" s="99"/>
      <c r="I72" s="99"/>
      <c r="J72" s="99"/>
      <c r="K72" s="4"/>
      <c r="L72" s="4"/>
    </row>
    <row r="73" spans="2:13" x14ac:dyDescent="0.25">
      <c r="B73" s="27"/>
      <c r="C73" s="8"/>
      <c r="D73" s="22"/>
      <c r="E73" s="60"/>
      <c r="F73" s="60"/>
      <c r="G73" s="99"/>
      <c r="H73" s="99"/>
      <c r="I73" s="99"/>
      <c r="J73" s="99"/>
      <c r="K73" s="4"/>
      <c r="L73" s="4"/>
      <c r="M73" s="4"/>
    </row>
    <row r="74" spans="2:13" ht="16.149999999999999" customHeight="1" x14ac:dyDescent="0.25">
      <c r="B74" s="219" t="s">
        <v>357</v>
      </c>
      <c r="C74" s="220"/>
      <c r="D74" s="28"/>
      <c r="E74" s="222"/>
      <c r="F74" s="222"/>
      <c r="G74" s="99"/>
      <c r="H74" s="99"/>
      <c r="I74" s="99"/>
      <c r="J74" s="99"/>
    </row>
    <row r="75" spans="2:13" x14ac:dyDescent="0.25">
      <c r="B75" s="553" t="s">
        <v>358</v>
      </c>
      <c r="C75" s="181" t="s">
        <v>0</v>
      </c>
      <c r="D75" s="29"/>
      <c r="E75" s="233">
        <v>0.87364995727784733</v>
      </c>
      <c r="F75" s="233">
        <v>0.61603965371941027</v>
      </c>
      <c r="G75" s="99"/>
      <c r="H75" s="99"/>
      <c r="I75" s="99"/>
      <c r="J75" s="99"/>
    </row>
    <row r="76" spans="2:13" x14ac:dyDescent="0.25">
      <c r="B76" s="553" t="s">
        <v>359</v>
      </c>
      <c r="C76" s="181" t="s">
        <v>0</v>
      </c>
      <c r="D76" s="29"/>
      <c r="E76" s="223">
        <f t="shared" ref="E76:F76" si="30">1-E75</f>
        <v>0.12635004272215267</v>
      </c>
      <c r="F76" s="223">
        <f t="shared" si="30"/>
        <v>0.38396034628058973</v>
      </c>
      <c r="G76" s="99"/>
      <c r="H76" s="99"/>
      <c r="I76" s="99"/>
      <c r="J76" s="99"/>
    </row>
    <row r="77" spans="2:13" x14ac:dyDescent="0.25">
      <c r="B77" s="106"/>
      <c r="C77" s="10"/>
      <c r="D77" s="30"/>
      <c r="E77" s="60"/>
      <c r="F77" s="60"/>
      <c r="G77" s="99"/>
      <c r="H77" s="99"/>
      <c r="I77" s="99"/>
      <c r="J77" s="99"/>
    </row>
    <row r="78" spans="2:13" ht="16.899999999999999" customHeight="1" x14ac:dyDescent="0.25">
      <c r="B78" s="219" t="s">
        <v>360</v>
      </c>
      <c r="C78" s="220"/>
      <c r="D78" s="31"/>
      <c r="E78" s="224"/>
      <c r="F78" s="224"/>
      <c r="G78" s="99"/>
      <c r="H78" s="99"/>
      <c r="I78" s="99"/>
      <c r="J78" s="99"/>
    </row>
    <row r="79" spans="2:13" x14ac:dyDescent="0.25">
      <c r="B79" s="182" t="s">
        <v>361</v>
      </c>
      <c r="C79" s="183" t="s">
        <v>0</v>
      </c>
      <c r="D79" s="29"/>
      <c r="E79" s="234">
        <v>0.9</v>
      </c>
      <c r="F79" s="234">
        <v>0.8334439634163513</v>
      </c>
      <c r="G79" s="99"/>
      <c r="H79" s="99"/>
      <c r="I79" s="99"/>
      <c r="J79" s="99"/>
    </row>
    <row r="80" spans="2:13" x14ac:dyDescent="0.25">
      <c r="B80" s="182" t="s">
        <v>362</v>
      </c>
      <c r="C80" s="183" t="s">
        <v>0</v>
      </c>
      <c r="D80" s="29"/>
      <c r="E80" s="225">
        <f t="shared" ref="E80:F80" si="31">1-E79</f>
        <v>9.9999999999999978E-2</v>
      </c>
      <c r="F80" s="225">
        <f t="shared" si="31"/>
        <v>0.1665560365836487</v>
      </c>
      <c r="G80" s="99"/>
      <c r="H80" s="99"/>
      <c r="I80" s="99"/>
      <c r="J80" s="99"/>
    </row>
    <row r="81" spans="2:16" x14ac:dyDescent="0.25">
      <c r="B81" s="32"/>
      <c r="C81" s="9"/>
      <c r="D81" s="29"/>
      <c r="E81" s="60"/>
      <c r="F81" s="60"/>
      <c r="G81" s="99"/>
      <c r="H81" s="99"/>
      <c r="I81" s="99"/>
      <c r="J81" s="99"/>
    </row>
    <row r="82" spans="2:16" x14ac:dyDescent="0.25">
      <c r="B82" s="554" t="s">
        <v>363</v>
      </c>
      <c r="C82" s="184" t="s">
        <v>0</v>
      </c>
      <c r="D82" s="29"/>
      <c r="E82" s="234">
        <v>0</v>
      </c>
      <c r="F82" s="234">
        <v>0</v>
      </c>
      <c r="G82" s="99"/>
      <c r="H82" s="99"/>
      <c r="I82" s="99"/>
      <c r="J82" s="99"/>
    </row>
    <row r="83" spans="2:16" x14ac:dyDescent="0.25">
      <c r="B83" s="554" t="s">
        <v>364</v>
      </c>
      <c r="C83" s="184" t="s">
        <v>0</v>
      </c>
      <c r="D83" s="29"/>
      <c r="E83" s="234">
        <v>0</v>
      </c>
      <c r="F83" s="234">
        <v>0</v>
      </c>
      <c r="G83" s="99"/>
      <c r="H83" s="99"/>
      <c r="I83" s="99"/>
      <c r="J83" s="99"/>
    </row>
    <row r="84" spans="2:16" x14ac:dyDescent="0.25">
      <c r="B84" s="107"/>
      <c r="C84" s="67"/>
      <c r="D84" s="30"/>
      <c r="E84" s="60"/>
      <c r="F84" s="60"/>
      <c r="G84" s="99"/>
      <c r="H84" s="99"/>
      <c r="I84" s="99"/>
      <c r="J84" s="99"/>
    </row>
    <row r="85" spans="2:16" x14ac:dyDescent="0.25">
      <c r="B85" s="219" t="s">
        <v>365</v>
      </c>
      <c r="C85" s="220"/>
      <c r="D85" s="28"/>
      <c r="E85" s="222"/>
      <c r="F85" s="222"/>
      <c r="G85" s="99"/>
      <c r="H85" s="99"/>
      <c r="I85" s="99"/>
      <c r="J85" s="99"/>
    </row>
    <row r="86" spans="2:16" x14ac:dyDescent="0.25">
      <c r="B86" s="182" t="s">
        <v>358</v>
      </c>
      <c r="C86" s="183" t="s">
        <v>0</v>
      </c>
      <c r="D86" s="29"/>
      <c r="E86" s="223">
        <f t="shared" ref="E86:F86" si="32">((E93+E95)*E120/1000+E94*E124/1000+(E68-E100*E127/1000))/(E25-E72-E71)</f>
        <v>0.48635705657906264</v>
      </c>
      <c r="F86" s="223">
        <f t="shared" si="32"/>
        <v>0.4507758289721861</v>
      </c>
      <c r="G86" s="99"/>
      <c r="H86" s="99"/>
      <c r="I86" s="99"/>
      <c r="J86" s="99"/>
    </row>
    <row r="87" spans="2:16" x14ac:dyDescent="0.25">
      <c r="B87" s="182" t="s">
        <v>359</v>
      </c>
      <c r="C87" s="183" t="s">
        <v>0</v>
      </c>
      <c r="D87" s="29"/>
      <c r="E87" s="223">
        <f>1-E86</f>
        <v>0.5136429434209373</v>
      </c>
      <c r="F87" s="223">
        <f t="shared" ref="F87" si="33">1-F86</f>
        <v>0.54922417102781385</v>
      </c>
      <c r="G87" s="99"/>
      <c r="H87" s="99"/>
      <c r="I87" s="99"/>
      <c r="J87" s="99"/>
    </row>
    <row r="88" spans="2:16" x14ac:dyDescent="0.25">
      <c r="C88" s="9"/>
      <c r="D88" s="32"/>
      <c r="F88" s="99"/>
      <c r="G88" s="99"/>
      <c r="I88" s="99"/>
      <c r="J88" s="99"/>
    </row>
    <row r="89" spans="2:16" ht="25.5" x14ac:dyDescent="0.25">
      <c r="B89" s="221" t="s">
        <v>374</v>
      </c>
      <c r="C89" s="220"/>
      <c r="D89" s="28"/>
      <c r="E89" s="226"/>
      <c r="F89" s="226"/>
      <c r="G89" s="227" t="s">
        <v>413</v>
      </c>
      <c r="I89" s="99"/>
      <c r="J89" s="99"/>
    </row>
    <row r="90" spans="2:16" x14ac:dyDescent="0.25">
      <c r="B90" s="547" t="s">
        <v>366</v>
      </c>
      <c r="C90" s="183" t="s">
        <v>367</v>
      </c>
      <c r="D90" s="28"/>
      <c r="E90" s="229">
        <f t="shared" ref="E90" si="34">E93+E94+E95</f>
        <v>160387.09645582485</v>
      </c>
      <c r="F90" s="229">
        <f>F93+F94+F95</f>
        <v>154113.11879771363</v>
      </c>
      <c r="G90" s="230">
        <f>F90/E90-1</f>
        <v>-3.9117720793949595E-2</v>
      </c>
      <c r="I90" s="99"/>
      <c r="J90" s="99"/>
    </row>
    <row r="91" spans="2:16" x14ac:dyDescent="0.25">
      <c r="B91" s="179" t="s">
        <v>82</v>
      </c>
      <c r="C91" s="183" t="s">
        <v>367</v>
      </c>
      <c r="D91" s="28"/>
      <c r="E91" s="198">
        <f>+H270</f>
        <v>0</v>
      </c>
      <c r="F91" s="198">
        <f>+I270</f>
        <v>0</v>
      </c>
      <c r="G91" s="445" t="s">
        <v>2</v>
      </c>
      <c r="I91" s="99"/>
      <c r="J91" s="99"/>
    </row>
    <row r="92" spans="2:16" x14ac:dyDescent="0.25">
      <c r="B92" s="179" t="s">
        <v>368</v>
      </c>
      <c r="C92" s="183" t="s">
        <v>367</v>
      </c>
      <c r="D92" s="28"/>
      <c r="E92" s="198">
        <v>0</v>
      </c>
      <c r="F92" s="198">
        <v>0</v>
      </c>
      <c r="G92" s="445" t="s">
        <v>2</v>
      </c>
      <c r="I92" s="99"/>
      <c r="J92" s="99"/>
    </row>
    <row r="93" spans="2:16" x14ac:dyDescent="0.25">
      <c r="B93" s="179" t="s">
        <v>6</v>
      </c>
      <c r="C93" s="183" t="s">
        <v>367</v>
      </c>
      <c r="D93" s="18"/>
      <c r="E93" s="198">
        <f>+H275</f>
        <v>15533.61240598652</v>
      </c>
      <c r="F93" s="198">
        <f>+I275</f>
        <v>11617.340034991219</v>
      </c>
      <c r="G93" s="228">
        <f t="shared" ref="G93:G103" si="35">F93/E93-1</f>
        <v>-0.25211600937628664</v>
      </c>
      <c r="I93" s="99"/>
      <c r="J93" s="99"/>
    </row>
    <row r="94" spans="2:16" x14ac:dyDescent="0.25">
      <c r="B94" s="179" t="s">
        <v>7</v>
      </c>
      <c r="C94" s="183" t="s">
        <v>367</v>
      </c>
      <c r="D94" s="18"/>
      <c r="E94" s="198">
        <f>+H285</f>
        <v>121408.552542989</v>
      </c>
      <c r="F94" s="198">
        <f>+I285</f>
        <v>126356.46223819369</v>
      </c>
      <c r="G94" s="228">
        <f t="shared" si="35"/>
        <v>4.0754210404186475E-2</v>
      </c>
      <c r="I94" s="99"/>
      <c r="J94" s="99"/>
      <c r="M94" s="84"/>
      <c r="N94" s="84"/>
      <c r="O94" s="84"/>
      <c r="P94" s="84"/>
    </row>
    <row r="95" spans="2:16" x14ac:dyDescent="0.25">
      <c r="B95" s="179" t="s">
        <v>369</v>
      </c>
      <c r="C95" s="183" t="s">
        <v>367</v>
      </c>
      <c r="D95" s="18"/>
      <c r="E95" s="198">
        <f>+H280</f>
        <v>23444.931506849316</v>
      </c>
      <c r="F95" s="198">
        <f>+I280</f>
        <v>16139.316524528731</v>
      </c>
      <c r="G95" s="228">
        <f t="shared" si="35"/>
        <v>-0.31160743549991976</v>
      </c>
      <c r="H95" s="4"/>
      <c r="I95" s="99"/>
      <c r="J95" s="99"/>
    </row>
    <row r="96" spans="2:16" ht="15" customHeight="1" x14ac:dyDescent="0.25">
      <c r="B96" s="179" t="s">
        <v>370</v>
      </c>
      <c r="C96" s="183" t="s">
        <v>367</v>
      </c>
      <c r="D96" s="18"/>
      <c r="E96" s="195">
        <v>109200</v>
      </c>
      <c r="F96" s="195">
        <v>109200</v>
      </c>
      <c r="G96" s="228">
        <f t="shared" si="35"/>
        <v>0</v>
      </c>
      <c r="I96" s="99"/>
      <c r="J96" s="99"/>
      <c r="M96" s="186"/>
    </row>
    <row r="97" spans="2:16" ht="14.25" customHeight="1" x14ac:dyDescent="0.25">
      <c r="B97" s="547" t="s">
        <v>371</v>
      </c>
      <c r="C97" s="183" t="s">
        <v>367</v>
      </c>
      <c r="D97" s="18"/>
      <c r="E97" s="229">
        <f t="shared" ref="E97" si="36">SUM(E98:E101)</f>
        <v>290998.59666338249</v>
      </c>
      <c r="F97" s="229">
        <f>SUM(F98:F101)</f>
        <v>295595.63052926701</v>
      </c>
      <c r="G97" s="230">
        <f t="shared" si="35"/>
        <v>1.5797443419296675E-2</v>
      </c>
      <c r="I97" s="99"/>
      <c r="J97" s="99"/>
      <c r="M97" s="186"/>
    </row>
    <row r="98" spans="2:16" ht="14.25" customHeight="1" x14ac:dyDescent="0.25">
      <c r="B98" s="179" t="s">
        <v>8</v>
      </c>
      <c r="C98" s="183" t="s">
        <v>367</v>
      </c>
      <c r="D98" s="18"/>
      <c r="E98" s="198">
        <f>+H290</f>
        <v>39755.49369420189</v>
      </c>
      <c r="F98" s="198">
        <f>+I290</f>
        <v>30365.95917731474</v>
      </c>
      <c r="G98" s="228">
        <f t="shared" si="35"/>
        <v>-0.23618206301526978</v>
      </c>
      <c r="I98" s="99"/>
      <c r="J98" s="99"/>
      <c r="M98" s="186"/>
    </row>
    <row r="99" spans="2:16" x14ac:dyDescent="0.25">
      <c r="B99" s="179" t="s">
        <v>84</v>
      </c>
      <c r="C99" s="183" t="s">
        <v>367</v>
      </c>
      <c r="D99" s="18"/>
      <c r="E99" s="198">
        <f>+H295</f>
        <v>40436.712328767127</v>
      </c>
      <c r="F99" s="198">
        <f>+I295</f>
        <v>50229.624679834153</v>
      </c>
      <c r="G99" s="228">
        <f t="shared" si="35"/>
        <v>0.24217874765501746</v>
      </c>
      <c r="I99" s="99"/>
      <c r="J99" s="99"/>
      <c r="M99" s="186"/>
      <c r="N99" s="64"/>
      <c r="O99" s="64"/>
      <c r="P99" s="64"/>
    </row>
    <row r="100" spans="2:16" x14ac:dyDescent="0.25">
      <c r="B100" s="179" t="s">
        <v>9</v>
      </c>
      <c r="C100" s="183" t="s">
        <v>367</v>
      </c>
      <c r="D100" s="18"/>
      <c r="E100" s="198">
        <v>109200</v>
      </c>
      <c r="F100" s="198">
        <v>109200</v>
      </c>
      <c r="G100" s="228">
        <f t="shared" si="35"/>
        <v>0</v>
      </c>
      <c r="I100" s="99"/>
      <c r="J100" s="99"/>
      <c r="M100" s="186"/>
      <c r="N100" s="64"/>
      <c r="O100" s="64"/>
      <c r="P100" s="64"/>
    </row>
    <row r="101" spans="2:16" x14ac:dyDescent="0.25">
      <c r="B101" s="547" t="s">
        <v>306</v>
      </c>
      <c r="C101" s="183" t="s">
        <v>367</v>
      </c>
      <c r="D101" s="18"/>
      <c r="E101" s="199">
        <f>E102+E103</f>
        <v>101606.39064041346</v>
      </c>
      <c r="F101" s="199">
        <f t="shared" ref="F101" si="37">F102+F103</f>
        <v>105800.04667211814</v>
      </c>
      <c r="G101" s="230">
        <f t="shared" si="35"/>
        <v>4.127354593812993E-2</v>
      </c>
      <c r="I101" s="99"/>
      <c r="J101" s="99"/>
      <c r="M101" s="186"/>
      <c r="N101" s="64"/>
      <c r="O101" s="64"/>
      <c r="P101" s="64"/>
    </row>
    <row r="102" spans="2:16" x14ac:dyDescent="0.25">
      <c r="B102" s="185" t="s">
        <v>372</v>
      </c>
      <c r="C102" s="183" t="s">
        <v>367</v>
      </c>
      <c r="D102" s="18"/>
      <c r="E102" s="235">
        <f>+H300-H303</f>
        <v>59606.390640413461</v>
      </c>
      <c r="F102" s="235">
        <f>+I300-I303</f>
        <v>63800.046672118144</v>
      </c>
      <c r="G102" s="228">
        <f t="shared" si="35"/>
        <v>7.0355812298779963E-2</v>
      </c>
      <c r="I102" s="99"/>
      <c r="J102" s="99"/>
      <c r="M102" s="186"/>
      <c r="N102" s="64"/>
      <c r="O102" s="64"/>
      <c r="P102" s="64"/>
    </row>
    <row r="103" spans="2:16" x14ac:dyDescent="0.25">
      <c r="B103" s="185" t="s">
        <v>373</v>
      </c>
      <c r="C103" s="183" t="s">
        <v>367</v>
      </c>
      <c r="D103" s="18"/>
      <c r="E103" s="235">
        <v>42000</v>
      </c>
      <c r="F103" s="235">
        <v>42000</v>
      </c>
      <c r="G103" s="228">
        <f t="shared" si="35"/>
        <v>0</v>
      </c>
      <c r="I103" s="99"/>
      <c r="J103" s="99"/>
      <c r="M103" s="186"/>
      <c r="N103" s="64"/>
      <c r="O103" s="64"/>
      <c r="P103" s="64"/>
    </row>
    <row r="104" spans="2:16" x14ac:dyDescent="0.25">
      <c r="I104" s="99"/>
      <c r="J104" s="99"/>
      <c r="M104" s="186"/>
      <c r="N104" s="83"/>
      <c r="O104" s="83"/>
      <c r="P104" s="83"/>
    </row>
    <row r="105" spans="2:16" ht="25.5" x14ac:dyDescent="0.25">
      <c r="B105" s="531" t="s">
        <v>375</v>
      </c>
      <c r="C105" s="220"/>
      <c r="D105" s="28"/>
      <c r="E105" s="222"/>
      <c r="F105" s="222"/>
      <c r="G105" s="227" t="s">
        <v>413</v>
      </c>
      <c r="I105" s="99"/>
      <c r="J105" s="99"/>
      <c r="M105" s="186"/>
      <c r="N105" s="83"/>
      <c r="O105" s="83"/>
      <c r="P105" s="83"/>
    </row>
    <row r="106" spans="2:16" x14ac:dyDescent="0.25">
      <c r="B106" s="179" t="s">
        <v>376</v>
      </c>
      <c r="C106" s="183" t="s">
        <v>377</v>
      </c>
      <c r="D106" s="28"/>
      <c r="E106" s="231">
        <f>SUM(E107:E110)</f>
        <v>66626083.791999996</v>
      </c>
      <c r="F106" s="231">
        <f t="shared" ref="F106" si="38">SUM(F107:F110)</f>
        <v>66225501.475249998</v>
      </c>
      <c r="G106" s="230">
        <f t="shared" ref="G106:G116" si="39">F106/E106-1</f>
        <v>-6.0123947551918855E-3</v>
      </c>
      <c r="I106" s="99"/>
      <c r="J106" s="99"/>
      <c r="M106" s="186"/>
    </row>
    <row r="107" spans="2:16" x14ac:dyDescent="0.25">
      <c r="B107" s="179" t="s">
        <v>8</v>
      </c>
      <c r="C107" s="183" t="s">
        <v>377</v>
      </c>
      <c r="D107" s="28"/>
      <c r="E107" s="236">
        <v>9674027.1999999993</v>
      </c>
      <c r="F107" s="236">
        <v>7700000</v>
      </c>
      <c r="G107" s="228">
        <f t="shared" si="39"/>
        <v>-0.20405433633678427</v>
      </c>
      <c r="I107" s="99"/>
      <c r="J107" s="99"/>
      <c r="M107" s="186"/>
    </row>
    <row r="108" spans="2:16" x14ac:dyDescent="0.25">
      <c r="B108" s="179" t="s">
        <v>306</v>
      </c>
      <c r="C108" s="183" t="s">
        <v>377</v>
      </c>
      <c r="D108" s="28"/>
      <c r="E108" s="236">
        <v>22646290.59</v>
      </c>
      <c r="F108" s="236">
        <v>21051465.475249998</v>
      </c>
      <c r="G108" s="228">
        <f t="shared" si="39"/>
        <v>-7.0423238119810883E-2</v>
      </c>
      <c r="I108" s="99"/>
      <c r="J108" s="99"/>
      <c r="M108" s="186"/>
    </row>
    <row r="109" spans="2:16" ht="15" customHeight="1" x14ac:dyDescent="0.25">
      <c r="B109" s="179" t="s">
        <v>9</v>
      </c>
      <c r="C109" s="183" t="s">
        <v>377</v>
      </c>
      <c r="D109" s="28"/>
      <c r="E109" s="236">
        <v>26269950</v>
      </c>
      <c r="F109" s="236">
        <v>26000000</v>
      </c>
      <c r="G109" s="228">
        <f t="shared" si="39"/>
        <v>-1.0275999763988852E-2</v>
      </c>
      <c r="I109" s="99"/>
      <c r="J109" s="99"/>
      <c r="M109" s="186"/>
    </row>
    <row r="110" spans="2:16" ht="13.9" customHeight="1" x14ac:dyDescent="0.25">
      <c r="B110" s="179" t="s">
        <v>84</v>
      </c>
      <c r="C110" s="183" t="s">
        <v>377</v>
      </c>
      <c r="D110" s="28"/>
      <c r="E110" s="236">
        <v>8035816.0020000003</v>
      </c>
      <c r="F110" s="236">
        <v>11474036</v>
      </c>
      <c r="G110" s="228">
        <f t="shared" si="39"/>
        <v>0.42786196164076884</v>
      </c>
      <c r="I110" s="99"/>
      <c r="J110" s="99"/>
      <c r="M110" s="186"/>
    </row>
    <row r="111" spans="2:16" ht="15" customHeight="1" x14ac:dyDescent="0.25">
      <c r="B111" s="547" t="s">
        <v>306</v>
      </c>
      <c r="C111" s="183" t="s">
        <v>367</v>
      </c>
      <c r="D111" s="38"/>
      <c r="E111" s="231">
        <f>E112+E113</f>
        <v>168060.73200000002</v>
      </c>
      <c r="F111" s="231">
        <f t="shared" ref="F111" si="40">F112+F113</f>
        <v>161519.01199999999</v>
      </c>
      <c r="G111" s="230">
        <f t="shared" si="39"/>
        <v>-3.8924738230939226E-2</v>
      </c>
      <c r="I111" s="99"/>
      <c r="J111" s="99"/>
      <c r="M111" s="186"/>
    </row>
    <row r="112" spans="2:16" ht="14.45" customHeight="1" x14ac:dyDescent="0.25">
      <c r="B112" s="185" t="s">
        <v>372</v>
      </c>
      <c r="C112" s="183" t="s">
        <v>367</v>
      </c>
      <c r="D112" s="38"/>
      <c r="E112" s="235">
        <v>126060.732</v>
      </c>
      <c r="F112" s="235">
        <v>119519.012</v>
      </c>
      <c r="G112" s="228">
        <f t="shared" si="39"/>
        <v>-5.1893400079574326E-2</v>
      </c>
      <c r="I112" s="99"/>
      <c r="J112" s="99"/>
      <c r="M112" s="186"/>
      <c r="N112" s="85"/>
      <c r="O112" s="85"/>
      <c r="P112" s="85"/>
    </row>
    <row r="113" spans="2:22" ht="14.45" customHeight="1" x14ac:dyDescent="0.25">
      <c r="B113" s="185" t="s">
        <v>373</v>
      </c>
      <c r="C113" s="183" t="s">
        <v>367</v>
      </c>
      <c r="D113" s="38"/>
      <c r="E113" s="235">
        <v>42000</v>
      </c>
      <c r="F113" s="235">
        <v>42000</v>
      </c>
      <c r="G113" s="228">
        <f t="shared" si="39"/>
        <v>0</v>
      </c>
      <c r="I113" s="99"/>
      <c r="J113" s="99"/>
      <c r="M113" s="186"/>
    </row>
    <row r="114" spans="2:22" ht="14.45" customHeight="1" x14ac:dyDescent="0.25">
      <c r="B114" s="547" t="s">
        <v>306</v>
      </c>
      <c r="C114" s="183" t="s">
        <v>377</v>
      </c>
      <c r="D114" s="38"/>
      <c r="E114" s="231">
        <f>ROUND(E108,0)</f>
        <v>22646291</v>
      </c>
      <c r="F114" s="231">
        <f>ROUND(F108,0)</f>
        <v>21051465</v>
      </c>
      <c r="G114" s="230">
        <f t="shared" si="39"/>
        <v>-7.0423275935118879E-2</v>
      </c>
      <c r="I114" s="99"/>
      <c r="J114" s="99"/>
      <c r="M114" s="186"/>
      <c r="N114" s="100"/>
      <c r="O114" s="100"/>
      <c r="P114" s="100"/>
      <c r="Q114" s="100"/>
    </row>
    <row r="115" spans="2:22" ht="14.45" customHeight="1" x14ac:dyDescent="0.25">
      <c r="B115" s="185" t="s">
        <v>372</v>
      </c>
      <c r="C115" s="183" t="s">
        <v>377</v>
      </c>
      <c r="D115" s="38"/>
      <c r="E115" s="236">
        <v>9758215.7899999991</v>
      </c>
      <c r="F115" s="236">
        <v>10121465.47525</v>
      </c>
      <c r="G115" s="228">
        <f t="shared" si="39"/>
        <v>3.7225010500613331E-2</v>
      </c>
      <c r="I115" s="99"/>
      <c r="J115" s="99"/>
      <c r="M115" s="186"/>
      <c r="N115" s="69"/>
      <c r="O115" s="69"/>
      <c r="P115" s="69"/>
      <c r="Q115" s="100"/>
      <c r="U115" s="85"/>
      <c r="V115" s="85"/>
    </row>
    <row r="116" spans="2:22" ht="14.45" customHeight="1" x14ac:dyDescent="0.25">
      <c r="B116" s="185" t="s">
        <v>373</v>
      </c>
      <c r="C116" s="183" t="s">
        <v>377</v>
      </c>
      <c r="D116" s="38"/>
      <c r="E116" s="232">
        <f>E114-E115</f>
        <v>12888075.210000001</v>
      </c>
      <c r="F116" s="232">
        <f t="shared" ref="F116" si="41">F114-F115</f>
        <v>10929999.52475</v>
      </c>
      <c r="G116" s="228">
        <f t="shared" si="39"/>
        <v>-0.15192925656817302</v>
      </c>
      <c r="I116" s="99"/>
      <c r="J116" s="99"/>
      <c r="M116" s="186"/>
      <c r="N116" s="171"/>
      <c r="O116" s="171"/>
      <c r="P116" s="171"/>
      <c r="Q116" s="100"/>
      <c r="U116" s="85"/>
      <c r="V116" s="101"/>
    </row>
    <row r="117" spans="2:22" ht="15.75" thickBot="1" x14ac:dyDescent="0.3">
      <c r="B117" s="19"/>
      <c r="C117" s="11"/>
      <c r="D117" s="33"/>
      <c r="E117" s="60"/>
      <c r="F117" s="99"/>
      <c r="G117" s="99"/>
      <c r="H117" s="99"/>
    </row>
    <row r="118" spans="2:22" ht="16.149999999999999" customHeight="1" x14ac:dyDescent="0.25">
      <c r="B118" s="561" t="s">
        <v>386</v>
      </c>
      <c r="C118" s="380"/>
      <c r="D118" s="381"/>
      <c r="E118" s="382" t="s">
        <v>318</v>
      </c>
      <c r="F118" s="386" t="s">
        <v>319</v>
      </c>
      <c r="G118" s="602" t="s">
        <v>414</v>
      </c>
      <c r="H118" s="602"/>
      <c r="I118" s="600" t="s">
        <v>415</v>
      </c>
      <c r="J118" s="600"/>
      <c r="K118" s="600" t="s">
        <v>416</v>
      </c>
      <c r="L118" s="600"/>
      <c r="M118" s="600" t="s">
        <v>417</v>
      </c>
      <c r="N118" s="601"/>
    </row>
    <row r="119" spans="2:22" ht="13.9" customHeight="1" x14ac:dyDescent="0.25">
      <c r="B119" s="558" t="s">
        <v>385</v>
      </c>
      <c r="C119" s="220"/>
      <c r="D119" s="28"/>
      <c r="E119" s="374"/>
      <c r="F119" s="387"/>
      <c r="G119" s="393" t="s">
        <v>11</v>
      </c>
      <c r="H119" s="393" t="s">
        <v>12</v>
      </c>
      <c r="I119" s="393" t="s">
        <v>418</v>
      </c>
      <c r="J119" s="393" t="s">
        <v>12</v>
      </c>
      <c r="K119" s="393" t="s">
        <v>418</v>
      </c>
      <c r="L119" s="393" t="s">
        <v>12</v>
      </c>
      <c r="M119" s="393" t="s">
        <v>418</v>
      </c>
      <c r="N119" s="399" t="s">
        <v>12</v>
      </c>
    </row>
    <row r="120" spans="2:22" x14ac:dyDescent="0.25">
      <c r="B120" s="557" t="s">
        <v>82</v>
      </c>
      <c r="C120" s="183" t="s">
        <v>75</v>
      </c>
      <c r="D120" s="34"/>
      <c r="E120" s="373">
        <f t="shared" ref="E120:F120" si="42">E69*E75/E90*1000</f>
        <v>142.76999999999998</v>
      </c>
      <c r="F120" s="388">
        <f t="shared" si="42"/>
        <v>142.77000000000001</v>
      </c>
      <c r="G120" s="396">
        <f>ROUND(F120,2)-ROUND(E120,2)</f>
        <v>0</v>
      </c>
      <c r="H120" s="397">
        <f>ROUND(F120,2)/ROUND(E120,2)-1</f>
        <v>0</v>
      </c>
      <c r="I120" s="394">
        <f>+E91*E120/1000</f>
        <v>0</v>
      </c>
      <c r="J120" s="395">
        <f>+I120/$E$11</f>
        <v>0</v>
      </c>
      <c r="K120" s="394">
        <f>+F91*F120/1000</f>
        <v>0</v>
      </c>
      <c r="L120" s="395">
        <f>+K120/$F$11</f>
        <v>0</v>
      </c>
      <c r="M120" s="394">
        <f>K120-I120</f>
        <v>0</v>
      </c>
      <c r="N120" s="450" t="s">
        <v>2</v>
      </c>
      <c r="O120" s="176"/>
    </row>
    <row r="121" spans="2:22" x14ac:dyDescent="0.25">
      <c r="B121" s="557" t="s">
        <v>308</v>
      </c>
      <c r="C121" s="183" t="s">
        <v>75</v>
      </c>
      <c r="D121" s="34"/>
      <c r="E121" s="373">
        <f>+E120</f>
        <v>142.76999999999998</v>
      </c>
      <c r="F121" s="388">
        <f>+F120</f>
        <v>142.77000000000001</v>
      </c>
      <c r="G121" s="396">
        <f>ROUND(F121,2)-ROUND(E121,2)</f>
        <v>0</v>
      </c>
      <c r="H121" s="397">
        <f>ROUND(F121,2)/ROUND(E121,2)-1</f>
        <v>0</v>
      </c>
      <c r="I121" s="394">
        <f>+E92*E121/1000</f>
        <v>0</v>
      </c>
      <c r="J121" s="395">
        <f>+I121/$E$11</f>
        <v>0</v>
      </c>
      <c r="K121" s="394">
        <f>+F92*F121/1000</f>
        <v>0</v>
      </c>
      <c r="L121" s="395">
        <f>+K121/$F$11</f>
        <v>0</v>
      </c>
      <c r="M121" s="394">
        <f>K121-I121</f>
        <v>0</v>
      </c>
      <c r="N121" s="450" t="s">
        <v>2</v>
      </c>
      <c r="O121" s="176"/>
    </row>
    <row r="122" spans="2:22" x14ac:dyDescent="0.25">
      <c r="B122" s="557" t="s">
        <v>13</v>
      </c>
      <c r="C122" s="183" t="s">
        <v>75</v>
      </c>
      <c r="D122" s="34"/>
      <c r="E122" s="373">
        <v>35.96</v>
      </c>
      <c r="F122" s="388">
        <f>IF(F120=142.77,$E$122,F68*F86/F96*1000)</f>
        <v>35.96</v>
      </c>
      <c r="G122" s="396">
        <f t="shared" ref="G122:G129" si="43">ROUND(F122,2)-ROUND(E122,2)</f>
        <v>0</v>
      </c>
      <c r="H122" s="397">
        <f t="shared" ref="H122:H129" si="44">ROUND(F122,2)/ROUND(E122,2)-1</f>
        <v>0</v>
      </c>
      <c r="I122" s="394">
        <f>+E96*E122/1000</f>
        <v>3926.8319999999999</v>
      </c>
      <c r="J122" s="395">
        <f t="shared" ref="J122:J129" si="45">+I122/$E$11</f>
        <v>6.1197063911356313E-2</v>
      </c>
      <c r="K122" s="394">
        <f>+F96*F122/1000</f>
        <v>3926.8319999999999</v>
      </c>
      <c r="L122" s="395">
        <f t="shared" ref="L122:L129" si="46">+K122/$F$11</f>
        <v>5.8599811971168925E-2</v>
      </c>
      <c r="M122" s="394">
        <f t="shared" ref="M122:M129" si="47">K122-I122</f>
        <v>0</v>
      </c>
      <c r="N122" s="400">
        <f t="shared" ref="N122:N129" si="48">K122/I122-1</f>
        <v>0</v>
      </c>
      <c r="O122" s="176"/>
    </row>
    <row r="123" spans="2:22" x14ac:dyDescent="0.25">
      <c r="B123" s="557" t="s">
        <v>6</v>
      </c>
      <c r="C123" s="183" t="s">
        <v>75</v>
      </c>
      <c r="D123" s="34"/>
      <c r="E123" s="373">
        <f>E120</f>
        <v>142.76999999999998</v>
      </c>
      <c r="F123" s="388">
        <f t="shared" ref="F123" si="49">F120</f>
        <v>142.77000000000001</v>
      </c>
      <c r="G123" s="396">
        <f t="shared" si="43"/>
        <v>0</v>
      </c>
      <c r="H123" s="397">
        <f t="shared" si="44"/>
        <v>0</v>
      </c>
      <c r="I123" s="394">
        <f>+E93*E123/1000</f>
        <v>2217.7338432026954</v>
      </c>
      <c r="J123" s="395">
        <f t="shared" si="45"/>
        <v>3.4561906325723438E-2</v>
      </c>
      <c r="K123" s="394">
        <f>+F93*F123/1000</f>
        <v>1658.6076367956966</v>
      </c>
      <c r="L123" s="395">
        <f t="shared" si="46"/>
        <v>2.4751274220586126E-2</v>
      </c>
      <c r="M123" s="394">
        <f t="shared" si="47"/>
        <v>-559.12620640699879</v>
      </c>
      <c r="N123" s="400">
        <f t="shared" si="48"/>
        <v>-0.25211600937628653</v>
      </c>
      <c r="O123" s="176"/>
    </row>
    <row r="124" spans="2:22" x14ac:dyDescent="0.25">
      <c r="B124" s="557" t="s">
        <v>7</v>
      </c>
      <c r="C124" s="183" t="s">
        <v>75</v>
      </c>
      <c r="D124" s="34"/>
      <c r="E124" s="373">
        <f t="shared" ref="E124:F124" si="50">E69*E75/E90*1000*(1-E82)</f>
        <v>142.76999999999998</v>
      </c>
      <c r="F124" s="388">
        <f t="shared" si="50"/>
        <v>142.77000000000001</v>
      </c>
      <c r="G124" s="396">
        <f t="shared" si="43"/>
        <v>0</v>
      </c>
      <c r="H124" s="397">
        <f t="shared" si="44"/>
        <v>0</v>
      </c>
      <c r="I124" s="394">
        <f>+E94*E124/1000</f>
        <v>17333.499046562538</v>
      </c>
      <c r="J124" s="395">
        <f t="shared" si="45"/>
        <v>0.27013104939552324</v>
      </c>
      <c r="K124" s="394">
        <f>+F94*F124/1000</f>
        <v>18039.912113746916</v>
      </c>
      <c r="L124" s="395">
        <f t="shared" si="46"/>
        <v>0.2692082212434812</v>
      </c>
      <c r="M124" s="394">
        <f t="shared" si="47"/>
        <v>706.41306718437772</v>
      </c>
      <c r="N124" s="400">
        <f t="shared" si="48"/>
        <v>4.0754210404186697E-2</v>
      </c>
      <c r="O124" s="176"/>
    </row>
    <row r="125" spans="2:22" x14ac:dyDescent="0.25">
      <c r="B125" s="557" t="s">
        <v>307</v>
      </c>
      <c r="C125" s="183" t="s">
        <v>75</v>
      </c>
      <c r="D125" s="34"/>
      <c r="E125" s="373">
        <f t="shared" ref="E125:F125" si="51">E69*E75/E90*1000*(1-E83)</f>
        <v>142.76999999999998</v>
      </c>
      <c r="F125" s="388">
        <f t="shared" si="51"/>
        <v>142.77000000000001</v>
      </c>
      <c r="G125" s="396">
        <f t="shared" si="43"/>
        <v>0</v>
      </c>
      <c r="H125" s="397">
        <f t="shared" si="44"/>
        <v>0</v>
      </c>
      <c r="I125" s="394">
        <f>+E95*E125/1000</f>
        <v>3347.2328712328767</v>
      </c>
      <c r="J125" s="395">
        <f t="shared" si="45"/>
        <v>5.2164397139228533E-2</v>
      </c>
      <c r="K125" s="394">
        <f>+F95*F125/1000</f>
        <v>2304.2102202069673</v>
      </c>
      <c r="L125" s="395">
        <f t="shared" si="46"/>
        <v>3.4385551927399498E-2</v>
      </c>
      <c r="M125" s="394">
        <f t="shared" si="47"/>
        <v>-1043.0226510259095</v>
      </c>
      <c r="N125" s="400">
        <f t="shared" si="48"/>
        <v>-0.31160743549991965</v>
      </c>
      <c r="O125" s="176"/>
    </row>
    <row r="126" spans="2:22" x14ac:dyDescent="0.25">
      <c r="B126" s="557" t="s">
        <v>8</v>
      </c>
      <c r="C126" s="183" t="s">
        <v>75</v>
      </c>
      <c r="D126" s="35"/>
      <c r="E126" s="373">
        <f>(E69*E76+(E120-E124)*E94/1000)/(E98+E101+E99)*1000+E17/E98*1000+E14/(E98+E99+E101)*1000+((E120-E125)*E95)/(E98+E101)</f>
        <v>116.65766145808864</v>
      </c>
      <c r="F126" s="373">
        <f>(F69*F76+(F120-F124)*F94/1000)/(F98+F101+F99)*1000+F17/F98*1000+F14/(F98+F99+F101)*1000+((F120-F125)*F95)/(F98+F101)</f>
        <v>109.26534756520579</v>
      </c>
      <c r="G126" s="396">
        <f t="shared" si="43"/>
        <v>-7.3900000000000006</v>
      </c>
      <c r="H126" s="397">
        <f t="shared" si="44"/>
        <v>-6.3346476941539498E-2</v>
      </c>
      <c r="I126" s="394">
        <f>+E98*E126/1000</f>
        <v>4637.782924477382</v>
      </c>
      <c r="J126" s="395">
        <f t="shared" si="45"/>
        <v>7.227676102166819E-2</v>
      </c>
      <c r="K126" s="394">
        <f>+F98*F126/1000</f>
        <v>3317.9470836601454</v>
      </c>
      <c r="L126" s="395">
        <f t="shared" si="46"/>
        <v>4.9513469186553645E-2</v>
      </c>
      <c r="M126" s="394">
        <f t="shared" si="47"/>
        <v>-1319.8358408172367</v>
      </c>
      <c r="N126" s="400">
        <f t="shared" si="48"/>
        <v>-0.28458335853784378</v>
      </c>
      <c r="O126" s="176"/>
    </row>
    <row r="127" spans="2:22" x14ac:dyDescent="0.25">
      <c r="B127" s="557" t="s">
        <v>9</v>
      </c>
      <c r="C127" s="183" t="s">
        <v>75</v>
      </c>
      <c r="D127" s="35"/>
      <c r="E127" s="373">
        <f t="shared" ref="E127:F127" si="52">IF(E120=142.77,(E68-(E96*E122/1000))/E100*1000,E68*E87/E100*1000)</f>
        <v>46.699315120243895</v>
      </c>
      <c r="F127" s="388">
        <f t="shared" si="52"/>
        <v>40.552143722186159</v>
      </c>
      <c r="G127" s="396">
        <f t="shared" si="43"/>
        <v>-6.1500000000000057</v>
      </c>
      <c r="H127" s="397">
        <f t="shared" si="44"/>
        <v>-0.13169164882226991</v>
      </c>
      <c r="I127" s="394">
        <f>+E96*E127/1000</f>
        <v>5099.5652111306326</v>
      </c>
      <c r="J127" s="395">
        <f t="shared" si="45"/>
        <v>7.9473330701616607E-2</v>
      </c>
      <c r="K127" s="394">
        <f>+F96*F127/1000</f>
        <v>4428.294094462728</v>
      </c>
      <c r="L127" s="395">
        <f t="shared" si="46"/>
        <v>6.6083092245492969E-2</v>
      </c>
      <c r="M127" s="394">
        <f t="shared" si="47"/>
        <v>-671.27111666790461</v>
      </c>
      <c r="N127" s="400">
        <f t="shared" si="48"/>
        <v>-0.13163300965398894</v>
      </c>
      <c r="O127" s="176"/>
    </row>
    <row r="128" spans="2:22" x14ac:dyDescent="0.25">
      <c r="B128" s="557" t="s">
        <v>84</v>
      </c>
      <c r="C128" s="183" t="s">
        <v>75</v>
      </c>
      <c r="D128" s="35"/>
      <c r="E128" s="373">
        <f>(E69*E76+(E120-E124)*E94/1000)/(E98+E101+E99)*1000+E14/(E98+E99+E101)*1000+E18/(E99)*1000</f>
        <v>116.65766145808863</v>
      </c>
      <c r="F128" s="373">
        <f>(F69*F76+(F120-F124)*F94/1000)/(F98+F101+F99)*1000+F14/(F98+F99+F101)*1000+F18/(F99)*1000</f>
        <v>109.2653475652058</v>
      </c>
      <c r="G128" s="396">
        <f t="shared" si="43"/>
        <v>-7.3900000000000006</v>
      </c>
      <c r="H128" s="397">
        <f t="shared" si="44"/>
        <v>-6.3346476941539498E-2</v>
      </c>
      <c r="I128" s="394">
        <f>+E99*E128/1000</f>
        <v>4717.2522973274336</v>
      </c>
      <c r="J128" s="395">
        <f t="shared" si="45"/>
        <v>7.3515238320747953E-2</v>
      </c>
      <c r="K128" s="394">
        <f>+F99*F128/1000</f>
        <v>5488.357398711918</v>
      </c>
      <c r="L128" s="395">
        <f t="shared" si="46"/>
        <v>8.1902335418243558E-2</v>
      </c>
      <c r="M128" s="394">
        <f t="shared" si="47"/>
        <v>771.10510138448444</v>
      </c>
      <c r="N128" s="400">
        <f t="shared" si="48"/>
        <v>0.16346488438223994</v>
      </c>
      <c r="O128" s="176"/>
    </row>
    <row r="129" spans="2:15" x14ac:dyDescent="0.25">
      <c r="B129" s="557" t="s">
        <v>306</v>
      </c>
      <c r="C129" s="183" t="s">
        <v>75</v>
      </c>
      <c r="D129" s="34"/>
      <c r="E129" s="373">
        <f>(E69*E76+(E120-E124)*E94/1000)/(E98+E101+E99)*1000+E19/E101*1000+E41/E101*1000+E14/(E98+E99+E101)*1000+((E120-E125)*E95)/(E98+E101)</f>
        <v>41.223226971799235</v>
      </c>
      <c r="F129" s="388">
        <f>(F69*F76+(F120-F124)*F94/1000)/(F98+F101+F99)*1000+F19/F101*1000+F41/F101*1000+F14/(F98+F99+F101)*1000+((F120-F125)*F95)/(F98+F101)</f>
        <v>66.600468053095881</v>
      </c>
      <c r="G129" s="396">
        <f t="shared" si="43"/>
        <v>25.379999999999995</v>
      </c>
      <c r="H129" s="397">
        <f t="shared" si="44"/>
        <v>0.61572052401746724</v>
      </c>
      <c r="I129" s="394">
        <f>+E101*E129/1000</f>
        <v>4188.5433031550619</v>
      </c>
      <c r="J129" s="395">
        <f t="shared" si="45"/>
        <v>6.5275660435349367E-2</v>
      </c>
      <c r="K129" s="394">
        <f>+F101*F129/1000</f>
        <v>7046.3326284024579</v>
      </c>
      <c r="L129" s="395">
        <f t="shared" si="46"/>
        <v>0.10515187996601244</v>
      </c>
      <c r="M129" s="394">
        <f t="shared" si="47"/>
        <v>2857.7893252473959</v>
      </c>
      <c r="N129" s="400">
        <f t="shared" si="48"/>
        <v>0.68228716248313281</v>
      </c>
      <c r="O129" s="176"/>
    </row>
    <row r="130" spans="2:15" x14ac:dyDescent="0.25">
      <c r="B130" s="555" t="s">
        <v>378</v>
      </c>
      <c r="C130" s="556" t="s">
        <v>379</v>
      </c>
      <c r="D130" s="77"/>
      <c r="E130" s="405">
        <f>+E56/E102*1000</f>
        <v>59.637483815225721</v>
      </c>
      <c r="F130" s="406">
        <f>+F56/F102*1000</f>
        <v>41.331300657335653</v>
      </c>
      <c r="N130" s="383"/>
      <c r="O130" s="176"/>
    </row>
    <row r="131" spans="2:15" x14ac:dyDescent="0.25">
      <c r="B131" s="555" t="s">
        <v>380</v>
      </c>
      <c r="C131" s="556" t="s">
        <v>379</v>
      </c>
      <c r="D131" s="77"/>
      <c r="E131" s="405">
        <f>+E57/E103*1000</f>
        <v>5.1493712802793281</v>
      </c>
      <c r="F131" s="406">
        <f>+F57/F103*1000</f>
        <v>3.6818393840681671</v>
      </c>
      <c r="N131" s="383"/>
      <c r="O131" s="176"/>
    </row>
    <row r="132" spans="2:15" x14ac:dyDescent="0.25">
      <c r="B132" s="557" t="s">
        <v>381</v>
      </c>
      <c r="C132" s="183" t="s">
        <v>379</v>
      </c>
      <c r="D132" s="77"/>
      <c r="E132" s="373">
        <f>+E129+E130</f>
        <v>100.86071078702496</v>
      </c>
      <c r="F132" s="404">
        <f>+F129+F130</f>
        <v>107.93176871043153</v>
      </c>
      <c r="G132" s="396">
        <f t="shared" ref="G132:G133" si="53">ROUND(F132,2)-ROUND(E132,2)</f>
        <v>7.0700000000000074</v>
      </c>
      <c r="H132" s="397">
        <f t="shared" ref="H132:H133" si="54">ROUND(F132,2)/ROUND(E132,2)-1</f>
        <v>7.0097164386277999E-2</v>
      </c>
      <c r="I132" s="394">
        <f>+E102*E132/1000</f>
        <v>6011.9429274411732</v>
      </c>
      <c r="J132" s="395">
        <f>+I132/$E$11</f>
        <v>9.3692130338665885E-2</v>
      </c>
      <c r="K132" s="394">
        <f>+F102*F132/1000</f>
        <v>6886.0518811297916</v>
      </c>
      <c r="L132" s="395">
        <f t="shared" ref="L132:L133" si="55">+K132/$F$11</f>
        <v>0.10276002269970293</v>
      </c>
      <c r="M132" s="394">
        <f t="shared" ref="M132:M133" si="56">K132-I132</f>
        <v>874.10895368861839</v>
      </c>
      <c r="N132" s="400">
        <f t="shared" ref="N132:N133" si="57">K132/I132-1</f>
        <v>0.14539541779393783</v>
      </c>
      <c r="O132" s="176"/>
    </row>
    <row r="133" spans="2:15" x14ac:dyDescent="0.25">
      <c r="B133" s="557" t="s">
        <v>382</v>
      </c>
      <c r="C133" s="183" t="s">
        <v>379</v>
      </c>
      <c r="D133" s="77"/>
      <c r="E133" s="373">
        <f>+E129+E131</f>
        <v>46.372598252078561</v>
      </c>
      <c r="F133" s="388">
        <f>+F129+F131</f>
        <v>70.28230743716405</v>
      </c>
      <c r="G133" s="396">
        <f t="shared" si="53"/>
        <v>23.910000000000004</v>
      </c>
      <c r="H133" s="397">
        <f t="shared" si="54"/>
        <v>0.51563510890662068</v>
      </c>
      <c r="I133" s="394">
        <f>+E103*E133/1000</f>
        <v>1947.6491265872996</v>
      </c>
      <c r="J133" s="395">
        <f>+I133/$E$11</f>
        <v>3.0352815724395715E-2</v>
      </c>
      <c r="K133" s="394">
        <f>+F103*F133/1000</f>
        <v>2951.8569123608904</v>
      </c>
      <c r="L133" s="395">
        <f t="shared" si="55"/>
        <v>4.4050333711791963E-2</v>
      </c>
      <c r="M133" s="394">
        <f t="shared" si="56"/>
        <v>1004.2077857735908</v>
      </c>
      <c r="N133" s="400">
        <f t="shared" si="57"/>
        <v>0.51559994665629483</v>
      </c>
      <c r="O133" s="176"/>
    </row>
    <row r="134" spans="2:15" ht="15.75" x14ac:dyDescent="0.25">
      <c r="B134" s="558" t="s">
        <v>383</v>
      </c>
      <c r="C134" s="220"/>
      <c r="D134" s="28"/>
      <c r="E134" s="375" t="s">
        <v>318</v>
      </c>
      <c r="F134" s="389" t="s">
        <v>319</v>
      </c>
      <c r="N134" s="383"/>
      <c r="O134" s="176"/>
    </row>
    <row r="135" spans="2:15" x14ac:dyDescent="0.25">
      <c r="B135" s="558"/>
      <c r="C135" s="220"/>
      <c r="D135" s="28"/>
      <c r="E135" s="376"/>
      <c r="F135" s="390"/>
      <c r="N135" s="383"/>
      <c r="O135" s="176"/>
    </row>
    <row r="136" spans="2:15" x14ac:dyDescent="0.25">
      <c r="B136" s="557" t="s">
        <v>8</v>
      </c>
      <c r="C136" s="183" t="s">
        <v>3</v>
      </c>
      <c r="D136" s="34"/>
      <c r="E136" s="373">
        <f>E150</f>
        <v>9.1981933369102722E-2</v>
      </c>
      <c r="F136" s="388">
        <f t="shared" ref="F136" si="58">F150</f>
        <v>0.17357743896709932</v>
      </c>
      <c r="G136" s="396">
        <f t="shared" ref="G136:G140" si="59">ROUND(F136,2)-ROUND(E136,2)</f>
        <v>8.0000000000000016E-2</v>
      </c>
      <c r="H136" s="397">
        <f t="shared" ref="H136:H140" si="60">ROUND(F136,2)/ROUND(E136,2)-1</f>
        <v>0.88888888888888906</v>
      </c>
      <c r="I136" s="398">
        <f>E136*E107/1000</f>
        <v>889.83572532128733</v>
      </c>
      <c r="J136" s="395">
        <f t="shared" ref="J136:J140" si="61">+I136/$E$11</f>
        <v>1.3867497706317693E-2</v>
      </c>
      <c r="K136" s="398">
        <f>F136*F107/1000</f>
        <v>1336.5462800466646</v>
      </c>
      <c r="L136" s="395">
        <f t="shared" ref="L136:L140" si="62">+K136/$F$11</f>
        <v>1.9945177359637446E-2</v>
      </c>
      <c r="M136" s="394">
        <f t="shared" ref="M136:M140" si="63">K136-I136</f>
        <v>446.71055472537728</v>
      </c>
      <c r="N136" s="400">
        <f t="shared" ref="N136:N140" si="64">K136/I136-1</f>
        <v>0.50201463260433421</v>
      </c>
      <c r="O136" s="176"/>
    </row>
    <row r="137" spans="2:15" x14ac:dyDescent="0.25">
      <c r="B137" s="557" t="s">
        <v>9</v>
      </c>
      <c r="C137" s="183" t="s">
        <v>3</v>
      </c>
      <c r="D137" s="34"/>
      <c r="E137" s="373">
        <f>E136</f>
        <v>9.1981933369102722E-2</v>
      </c>
      <c r="F137" s="388">
        <f t="shared" ref="F137" si="65">F136</f>
        <v>0.17357743896709932</v>
      </c>
      <c r="G137" s="396">
        <f t="shared" si="59"/>
        <v>8.0000000000000016E-2</v>
      </c>
      <c r="H137" s="397">
        <f t="shared" si="60"/>
        <v>0.88888888888888906</v>
      </c>
      <c r="I137" s="398">
        <f>E137*E109/1000</f>
        <v>2416.3607905096601</v>
      </c>
      <c r="J137" s="395">
        <f t="shared" si="61"/>
        <v>3.765737513846152E-2</v>
      </c>
      <c r="K137" s="398">
        <f>F137*F109/1000</f>
        <v>4513.013413144582</v>
      </c>
      <c r="L137" s="395">
        <f t="shared" si="62"/>
        <v>6.7347352123451124E-2</v>
      </c>
      <c r="M137" s="394">
        <f t="shared" si="63"/>
        <v>2096.652622634922</v>
      </c>
      <c r="N137" s="400">
        <f t="shared" si="64"/>
        <v>0.8676902186418507</v>
      </c>
      <c r="O137" s="176"/>
    </row>
    <row r="138" spans="2:15" x14ac:dyDescent="0.25">
      <c r="B138" s="557" t="s">
        <v>309</v>
      </c>
      <c r="C138" s="183" t="s">
        <v>3</v>
      </c>
      <c r="D138" s="34"/>
      <c r="E138" s="373">
        <f t="shared" ref="E138:F138" si="66">E137</f>
        <v>9.1981933369102722E-2</v>
      </c>
      <c r="F138" s="388">
        <f t="shared" si="66"/>
        <v>0.17357743896709932</v>
      </c>
      <c r="G138" s="396">
        <f t="shared" si="59"/>
        <v>8.0000000000000016E-2</v>
      </c>
      <c r="H138" s="397">
        <f t="shared" si="60"/>
        <v>0.88888888888888906</v>
      </c>
      <c r="I138" s="398">
        <f>E138*E115/1000</f>
        <v>897.57955459710593</v>
      </c>
      <c r="J138" s="395">
        <f t="shared" si="61"/>
        <v>1.3988180133045118E-2</v>
      </c>
      <c r="K138" s="398">
        <f>F138*F115/1000</f>
        <v>1756.8580557878099</v>
      </c>
      <c r="L138" s="395">
        <f t="shared" si="62"/>
        <v>2.621745766796213E-2</v>
      </c>
      <c r="M138" s="394">
        <f t="shared" si="63"/>
        <v>859.27850119070399</v>
      </c>
      <c r="N138" s="400">
        <f t="shared" si="64"/>
        <v>0.95732851399050189</v>
      </c>
      <c r="O138" s="176"/>
    </row>
    <row r="139" spans="2:15" x14ac:dyDescent="0.25">
      <c r="B139" s="557" t="s">
        <v>310</v>
      </c>
      <c r="C139" s="183" t="s">
        <v>3</v>
      </c>
      <c r="D139" s="34"/>
      <c r="E139" s="373">
        <f t="shared" ref="E139:F139" si="67">E138</f>
        <v>9.1981933369102722E-2</v>
      </c>
      <c r="F139" s="388">
        <f t="shared" si="67"/>
        <v>0.17357743896709932</v>
      </c>
      <c r="G139" s="396">
        <f t="shared" si="59"/>
        <v>8.0000000000000016E-2</v>
      </c>
      <c r="H139" s="397">
        <f t="shared" si="60"/>
        <v>0.88888888888888906</v>
      </c>
      <c r="I139" s="398">
        <f>E139*E116/1000</f>
        <v>1185.4700752222047</v>
      </c>
      <c r="J139" s="395">
        <f t="shared" si="61"/>
        <v>1.8474762342359854E-2</v>
      </c>
      <c r="K139" s="398">
        <f>F139*F116/1000</f>
        <v>1897.2013254177177</v>
      </c>
      <c r="L139" s="395">
        <f t="shared" si="62"/>
        <v>2.8311789488557372E-2</v>
      </c>
      <c r="M139" s="394">
        <f t="shared" si="63"/>
        <v>711.73125019551298</v>
      </c>
      <c r="N139" s="400">
        <f t="shared" si="64"/>
        <v>0.6003789256865939</v>
      </c>
      <c r="O139" s="176"/>
    </row>
    <row r="140" spans="2:15" x14ac:dyDescent="0.25">
      <c r="B140" s="557" t="s">
        <v>84</v>
      </c>
      <c r="C140" s="183" t="s">
        <v>3</v>
      </c>
      <c r="D140" s="34"/>
      <c r="E140" s="373">
        <f t="shared" ref="E140:F140" si="68">E139</f>
        <v>9.1981933369102722E-2</v>
      </c>
      <c r="F140" s="388">
        <f t="shared" si="68"/>
        <v>0.17357743896709932</v>
      </c>
      <c r="G140" s="396">
        <f t="shared" si="59"/>
        <v>8.0000000000000016E-2</v>
      </c>
      <c r="H140" s="397">
        <f t="shared" si="60"/>
        <v>0.88888888888888906</v>
      </c>
      <c r="I140" s="398">
        <f>E140*E110/1000</f>
        <v>739.14989206233338</v>
      </c>
      <c r="J140" s="395">
        <f t="shared" si="61"/>
        <v>1.1519159257286977E-2</v>
      </c>
      <c r="K140" s="398">
        <f>F140*F110/1000</f>
        <v>1991.6337834963006</v>
      </c>
      <c r="L140" s="395">
        <f t="shared" si="62"/>
        <v>2.9720997798813643E-2</v>
      </c>
      <c r="M140" s="394">
        <f t="shared" si="63"/>
        <v>1252.4838914339671</v>
      </c>
      <c r="N140" s="400">
        <f t="shared" si="64"/>
        <v>1.6944924228282829</v>
      </c>
      <c r="O140" s="176"/>
    </row>
    <row r="141" spans="2:15" ht="15.6" customHeight="1" x14ac:dyDescent="0.25">
      <c r="B141" s="558" t="s">
        <v>384</v>
      </c>
      <c r="C141" s="220"/>
      <c r="D141" s="28"/>
      <c r="E141" s="375" t="s">
        <v>318</v>
      </c>
      <c r="F141" s="389" t="s">
        <v>319</v>
      </c>
      <c r="N141" s="383"/>
      <c r="O141" s="176"/>
    </row>
    <row r="142" spans="2:15" x14ac:dyDescent="0.25">
      <c r="B142" s="558"/>
      <c r="C142" s="220"/>
      <c r="D142" s="28"/>
      <c r="E142" s="377"/>
      <c r="F142" s="391"/>
      <c r="N142" s="383"/>
      <c r="O142" s="176"/>
    </row>
    <row r="143" spans="2:15" x14ac:dyDescent="0.25">
      <c r="B143" s="557" t="s">
        <v>309</v>
      </c>
      <c r="C143" s="183" t="s">
        <v>379</v>
      </c>
      <c r="D143" s="34"/>
      <c r="E143" s="373">
        <f>+E53/E112*1000</f>
        <v>65.797455202549372</v>
      </c>
      <c r="F143" s="388">
        <f>+F53/F112*1000</f>
        <v>51.480156637343264</v>
      </c>
      <c r="G143" s="396">
        <f t="shared" ref="G143:G144" si="69">ROUND(F143,2)-ROUND(E143,2)</f>
        <v>-14.32</v>
      </c>
      <c r="H143" s="397">
        <f t="shared" ref="H143:H144" si="70">ROUND(F143,2)/ROUND(E143,2)-1</f>
        <v>-0.21762917933130699</v>
      </c>
      <c r="I143" s="398">
        <f>E112*E143/1000</f>
        <v>8294.475366570583</v>
      </c>
      <c r="J143" s="395">
        <f t="shared" ref="J143:J144" si="71">+I143/$E$11</f>
        <v>0.12926387966666017</v>
      </c>
      <c r="K143" s="398">
        <f>F112*F143/1000</f>
        <v>6152.8574589005093</v>
      </c>
      <c r="L143" s="395">
        <f t="shared" ref="L143:L144" si="72">+K143/$F$11</f>
        <v>9.1818618717830064E-2</v>
      </c>
      <c r="M143" s="394">
        <f t="shared" ref="M143:M144" si="73">K143-I143</f>
        <v>-2141.6179076700737</v>
      </c>
      <c r="N143" s="400">
        <f t="shared" ref="N143:N144" si="74">K143/I143-1</f>
        <v>-0.25819811537466086</v>
      </c>
      <c r="O143" s="176"/>
    </row>
    <row r="144" spans="2:15" ht="17.45" customHeight="1" thickBot="1" x14ac:dyDescent="0.3">
      <c r="B144" s="559" t="s">
        <v>310</v>
      </c>
      <c r="C144" s="560" t="s">
        <v>379</v>
      </c>
      <c r="D144" s="384"/>
      <c r="E144" s="385">
        <f>+E54/E113*1000</f>
        <v>12.015199653985098</v>
      </c>
      <c r="F144" s="392">
        <f>+F54/F113*1000</f>
        <v>8.5909585628257243</v>
      </c>
      <c r="G144" s="401">
        <f t="shared" si="69"/>
        <v>-3.4299999999999997</v>
      </c>
      <c r="H144" s="402">
        <f t="shared" si="70"/>
        <v>-0.28535773710482526</v>
      </c>
      <c r="I144" s="403">
        <f>E113*E144/1000</f>
        <v>504.63838546737412</v>
      </c>
      <c r="J144" s="395">
        <f t="shared" si="71"/>
        <v>7.8644534646683528E-3</v>
      </c>
      <c r="K144" s="403">
        <f>F113*F144/1000</f>
        <v>360.82025963868045</v>
      </c>
      <c r="L144" s="395">
        <f t="shared" si="72"/>
        <v>5.3844929882956609E-3</v>
      </c>
      <c r="M144" s="394">
        <f t="shared" si="73"/>
        <v>-143.81812582869367</v>
      </c>
      <c r="N144" s="400">
        <f t="shared" si="74"/>
        <v>-0.28499244205431495</v>
      </c>
      <c r="O144" s="176"/>
    </row>
    <row r="145" spans="2:14" x14ac:dyDescent="0.25">
      <c r="B145" s="407"/>
      <c r="C145" s="408"/>
      <c r="D145" s="408"/>
      <c r="E145" s="408"/>
      <c r="F145" s="408"/>
      <c r="G145" s="408"/>
      <c r="H145" s="446" t="s">
        <v>419</v>
      </c>
      <c r="I145" s="447">
        <f>+SUM(I120:I128,I132:I133,I136:I140,I143:I144)</f>
        <v>64167.000037712583</v>
      </c>
      <c r="J145" s="449">
        <f>+SUM(J120:J128,J132:J133,J136:J140,J143:J144)</f>
        <v>1.0000000005877256</v>
      </c>
      <c r="K145" s="447">
        <f>+SUM(K120:K128,K132:K133,K136:K140,K143:K144)</f>
        <v>67010.999917507317</v>
      </c>
      <c r="L145" s="449">
        <f>+SUM(L120:L128,L132:L133,L136:L140,L143:L144)</f>
        <v>0.99999999876896828</v>
      </c>
      <c r="M145" s="447">
        <f>+SUM(M120:M128,M132:M133,M136:M140,M143:M144)</f>
        <v>2843.9998797947378</v>
      </c>
      <c r="N145" s="451"/>
    </row>
    <row r="146" spans="2:14" ht="15.75" thickBot="1" x14ac:dyDescent="0.3">
      <c r="B146" s="409"/>
      <c r="C146" s="410"/>
      <c r="D146" s="410"/>
      <c r="E146" s="410"/>
      <c r="F146" s="597" t="s">
        <v>420</v>
      </c>
      <c r="G146" s="597"/>
      <c r="H146" s="597"/>
      <c r="I146" s="448">
        <f>+I145-E11</f>
        <v>3.7712590710725635E-5</v>
      </c>
      <c r="J146" s="410"/>
      <c r="K146" s="448">
        <f>+K145-F11</f>
        <v>-8.2492668298073113E-5</v>
      </c>
      <c r="L146" s="410"/>
      <c r="M146" s="410"/>
      <c r="N146" s="411"/>
    </row>
    <row r="148" spans="2:14" ht="15.6" customHeight="1" x14ac:dyDescent="0.25">
      <c r="B148" s="521" t="s">
        <v>388</v>
      </c>
      <c r="C148" s="412"/>
      <c r="D148" s="413"/>
      <c r="E148" s="414" t="s">
        <v>318</v>
      </c>
      <c r="F148" s="415" t="s">
        <v>319</v>
      </c>
      <c r="I148" s="4"/>
      <c r="K148" s="4"/>
    </row>
    <row r="149" spans="2:14" x14ac:dyDescent="0.25">
      <c r="B149" s="522" t="s">
        <v>389</v>
      </c>
      <c r="C149" s="237"/>
      <c r="D149" s="77"/>
      <c r="E149" s="280"/>
      <c r="F149" s="416"/>
    </row>
    <row r="150" spans="2:14" x14ac:dyDescent="0.25">
      <c r="B150" s="562" t="s">
        <v>387</v>
      </c>
      <c r="C150" s="417" t="s">
        <v>3</v>
      </c>
      <c r="D150" s="418"/>
      <c r="E150" s="419">
        <f>IF(E80=0%,"N/A",E80*E12/(E106/1000))</f>
        <v>9.1981933369102722E-2</v>
      </c>
      <c r="F150" s="420">
        <f>IF(F80=0%,"N/A",F80*F12/(F106/1000))</f>
        <v>0.17357743896709932</v>
      </c>
    </row>
    <row r="152" spans="2:14" ht="29.25" customHeight="1" x14ac:dyDescent="0.25">
      <c r="B152" s="521" t="s">
        <v>390</v>
      </c>
      <c r="C152" s="563"/>
      <c r="D152" s="494"/>
      <c r="E152" s="575" t="s">
        <v>421</v>
      </c>
      <c r="F152" s="576"/>
      <c r="G152" s="575" t="s">
        <v>422</v>
      </c>
      <c r="H152" s="576"/>
      <c r="I152" s="575" t="s">
        <v>423</v>
      </c>
      <c r="J152" s="576"/>
      <c r="K152" s="575" t="s">
        <v>424</v>
      </c>
      <c r="L152" s="576"/>
      <c r="M152" s="575" t="s">
        <v>425</v>
      </c>
      <c r="N152" s="576"/>
    </row>
    <row r="153" spans="2:14" ht="35.25" customHeight="1" x14ac:dyDescent="0.25">
      <c r="B153" s="522" t="s">
        <v>391</v>
      </c>
      <c r="C153" s="221"/>
      <c r="D153" s="28"/>
      <c r="E153" s="577"/>
      <c r="F153" s="577"/>
      <c r="G153" s="577"/>
      <c r="H153" s="577"/>
      <c r="I153" s="577"/>
      <c r="J153" s="577"/>
      <c r="K153" s="577"/>
      <c r="L153" s="577"/>
      <c r="M153" s="577"/>
      <c r="N153" s="577"/>
    </row>
    <row r="154" spans="2:14" x14ac:dyDescent="0.25">
      <c r="B154" s="564" t="s">
        <v>392</v>
      </c>
      <c r="C154" s="184"/>
      <c r="D154" s="28"/>
      <c r="E154" s="507">
        <f>+E155+E158</f>
        <v>55515.747059614238</v>
      </c>
      <c r="F154" s="514">
        <f>E154/$E$154</f>
        <v>1</v>
      </c>
      <c r="G154" s="507">
        <f>+G155+G158</f>
        <v>46210.493175986827</v>
      </c>
      <c r="H154" s="514">
        <f>G154/$G$154</f>
        <v>1</v>
      </c>
      <c r="I154" s="507">
        <f>+I155+I158</f>
        <v>47160.620965151509</v>
      </c>
      <c r="J154" s="514">
        <f t="shared" ref="J154:J160" si="75">I154/$K$154</f>
        <v>1.2458106895011192</v>
      </c>
      <c r="K154" s="507">
        <f>+K155+K158</f>
        <v>37855.367081524098</v>
      </c>
      <c r="L154" s="514">
        <f t="shared" ref="L154:L160" si="76">K154/$K$154</f>
        <v>1</v>
      </c>
      <c r="M154" s="507">
        <f>+M155+M158</f>
        <v>41216.418314804192</v>
      </c>
      <c r="N154" s="514">
        <f t="shared" ref="N154:N160" si="77">M154/$K$154</f>
        <v>1.0887866501477015</v>
      </c>
    </row>
    <row r="155" spans="2:14" x14ac:dyDescent="0.25">
      <c r="B155" s="565" t="s">
        <v>393</v>
      </c>
      <c r="C155" s="178" t="s">
        <v>1</v>
      </c>
      <c r="D155" s="524"/>
      <c r="E155" s="507">
        <f>+E156+E157</f>
        <v>27866.414005864226</v>
      </c>
      <c r="F155" s="514">
        <f t="shared" ref="F155:F160" si="78">E155/$E$154</f>
        <v>0.50195512952281007</v>
      </c>
      <c r="G155" s="507">
        <f>+G156+G157</f>
        <v>18561.160122236812</v>
      </c>
      <c r="H155" s="514">
        <f t="shared" ref="H155:H160" si="79">G155/$G$154</f>
        <v>0.4016654843208225</v>
      </c>
      <c r="I155" s="507">
        <f>+I156+I157</f>
        <v>27866.414005864226</v>
      </c>
      <c r="J155" s="514">
        <f t="shared" si="75"/>
        <v>0.73612848465719571</v>
      </c>
      <c r="K155" s="507">
        <f>+K156+K157</f>
        <v>18561.160122236812</v>
      </c>
      <c r="L155" s="514">
        <f t="shared" si="76"/>
        <v>0.49031779515607643</v>
      </c>
      <c r="M155" s="507">
        <f>+M156+M157</f>
        <v>21922.211355516905</v>
      </c>
      <c r="N155" s="514">
        <f t="shared" si="77"/>
        <v>0.57910444530377791</v>
      </c>
    </row>
    <row r="156" spans="2:14" x14ac:dyDescent="0.25">
      <c r="B156" s="566" t="s">
        <v>394</v>
      </c>
      <c r="C156" s="178" t="s">
        <v>1</v>
      </c>
      <c r="D156" s="524"/>
      <c r="E156" s="508">
        <f>+F124*F90/1000*F108/(F106-F109)</f>
        <v>11514.827493834355</v>
      </c>
      <c r="F156" s="513">
        <f t="shared" si="78"/>
        <v>0.20741551908631323</v>
      </c>
      <c r="G156" s="508">
        <f>+F124*F90/1000*F108/(F106-F109)</f>
        <v>11514.827493834355</v>
      </c>
      <c r="H156" s="513">
        <f t="shared" si="79"/>
        <v>0.24918209485411871</v>
      </c>
      <c r="I156" s="508">
        <f>+F124*F90/1000*F108/(F106-F109)</f>
        <v>11514.827493834355</v>
      </c>
      <c r="J156" s="513">
        <f t="shared" si="75"/>
        <v>0.30417952278831145</v>
      </c>
      <c r="K156" s="508">
        <f>+F124*F90/1000*F108/(F106-F109)</f>
        <v>11514.827493834355</v>
      </c>
      <c r="L156" s="513">
        <f t="shared" si="76"/>
        <v>0.30417952278831145</v>
      </c>
      <c r="M156" s="508">
        <f>+F124*F90/1000*F108/(F106-F109)</f>
        <v>11514.827493834355</v>
      </c>
      <c r="N156" s="513">
        <f t="shared" si="77"/>
        <v>0.30417952278831145</v>
      </c>
    </row>
    <row r="157" spans="2:14" x14ac:dyDescent="0.25">
      <c r="B157" s="566" t="s">
        <v>395</v>
      </c>
      <c r="C157" s="178" t="s">
        <v>1</v>
      </c>
      <c r="D157" s="524"/>
      <c r="E157" s="508">
        <f>+F132*F102/1000+F133*F103/1000+F143*F112/1000+F144*F113/1000</f>
        <v>16351.586512029871</v>
      </c>
      <c r="F157" s="513">
        <f t="shared" si="78"/>
        <v>0.29453961043649685</v>
      </c>
      <c r="G157" s="508">
        <f>+F129*F102/1000+F129*F103/1000</f>
        <v>7046.332628402457</v>
      </c>
      <c r="H157" s="513">
        <f t="shared" si="79"/>
        <v>0.15248338946670378</v>
      </c>
      <c r="I157" s="508">
        <f>+F132*F102/1000+F133*F103/1000+F143*F112/1000+F144*F113/1000</f>
        <v>16351.586512029871</v>
      </c>
      <c r="J157" s="513">
        <f t="shared" si="75"/>
        <v>0.43194896186888432</v>
      </c>
      <c r="K157" s="508">
        <f>+F129*F102/1000+F129*F103/1000</f>
        <v>7046.332628402457</v>
      </c>
      <c r="L157" s="513">
        <f t="shared" si="76"/>
        <v>0.18613827236776498</v>
      </c>
      <c r="M157" s="508">
        <f>+F129*F102/1000+F129*F103/1000-F41</f>
        <v>10407.383861682552</v>
      </c>
      <c r="N157" s="513">
        <f t="shared" si="77"/>
        <v>0.27492492251546646</v>
      </c>
    </row>
    <row r="158" spans="2:14" x14ac:dyDescent="0.25">
      <c r="B158" s="565" t="s">
        <v>396</v>
      </c>
      <c r="C158" s="178" t="s">
        <v>1</v>
      </c>
      <c r="D158" s="517"/>
      <c r="E158" s="507">
        <f>+E160+E159</f>
        <v>27649.333053750015</v>
      </c>
      <c r="F158" s="514">
        <f t="shared" si="78"/>
        <v>0.49804487047719004</v>
      </c>
      <c r="G158" s="507">
        <f>+G160+G159</f>
        <v>27649.333053750015</v>
      </c>
      <c r="H158" s="514">
        <f t="shared" si="79"/>
        <v>0.5983345156791775</v>
      </c>
      <c r="I158" s="507">
        <f>+I160+I159</f>
        <v>19294.206959287287</v>
      </c>
      <c r="J158" s="514">
        <f t="shared" si="75"/>
        <v>0.50968220484392357</v>
      </c>
      <c r="K158" s="507">
        <f>+K160+K159</f>
        <v>19294.206959287287</v>
      </c>
      <c r="L158" s="514">
        <f t="shared" si="76"/>
        <v>0.50968220484392357</v>
      </c>
      <c r="M158" s="507">
        <f>+M160+M159</f>
        <v>19294.206959287287</v>
      </c>
      <c r="N158" s="514">
        <f t="shared" si="77"/>
        <v>0.50968220484392357</v>
      </c>
    </row>
    <row r="159" spans="2:14" x14ac:dyDescent="0.25">
      <c r="B159" s="566" t="s">
        <v>394</v>
      </c>
      <c r="C159" s="178" t="s">
        <v>1</v>
      </c>
      <c r="D159" s="517"/>
      <c r="E159" s="508">
        <f>+F124*F90/1000-E156+F96*F122/1000</f>
        <v>14414.734476915222</v>
      </c>
      <c r="F159" s="513">
        <f t="shared" si="78"/>
        <v>0.25965127446517672</v>
      </c>
      <c r="G159" s="508">
        <f>+F124*F90/1000-G156+F96*F122/1000</f>
        <v>14414.734476915222</v>
      </c>
      <c r="H159" s="513">
        <f t="shared" si="79"/>
        <v>0.31193639120055539</v>
      </c>
      <c r="I159" s="508">
        <f>+F124*F90/1000-I156</f>
        <v>10487.902476915222</v>
      </c>
      <c r="J159" s="513">
        <f t="shared" si="75"/>
        <v>0.27705192910502791</v>
      </c>
      <c r="K159" s="508">
        <f>+F124*F90/1000-K156</f>
        <v>10487.902476915222</v>
      </c>
      <c r="L159" s="513">
        <f t="shared" si="76"/>
        <v>0.27705192910502791</v>
      </c>
      <c r="M159" s="508">
        <f>+F124*F90/1000-M156</f>
        <v>10487.902476915222</v>
      </c>
      <c r="N159" s="513">
        <f t="shared" si="77"/>
        <v>0.27705192910502791</v>
      </c>
    </row>
    <row r="160" spans="2:14" x14ac:dyDescent="0.25">
      <c r="B160" s="566" t="s">
        <v>395</v>
      </c>
      <c r="C160" s="178" t="s">
        <v>1</v>
      </c>
      <c r="D160" s="517"/>
      <c r="E160" s="508">
        <f>+F100*F127/1000+F128*F99/1000+F128*F98/1000</f>
        <v>13234.598576834793</v>
      </c>
      <c r="F160" s="513">
        <f t="shared" si="78"/>
        <v>0.23839359601201332</v>
      </c>
      <c r="G160" s="508">
        <f>+F100*F127/1000+F128*F99/1000+F128*F98/1000</f>
        <v>13234.598576834793</v>
      </c>
      <c r="H160" s="513">
        <f t="shared" si="79"/>
        <v>0.28639812447862212</v>
      </c>
      <c r="I160" s="508">
        <f>F128*F99/1000+F128*F98/1000</f>
        <v>8806.3044823720629</v>
      </c>
      <c r="J160" s="513">
        <f t="shared" si="75"/>
        <v>0.23263027573889561</v>
      </c>
      <c r="K160" s="508">
        <f>+F128*F99/1000+F128*F98/1000</f>
        <v>8806.3044823720629</v>
      </c>
      <c r="L160" s="513">
        <f t="shared" si="76"/>
        <v>0.23263027573889561</v>
      </c>
      <c r="M160" s="508">
        <f>+F128*F99/1000+F128*F98/1000</f>
        <v>8806.3044823720629</v>
      </c>
      <c r="N160" s="513">
        <f t="shared" si="77"/>
        <v>0.23263027573889561</v>
      </c>
    </row>
    <row r="161" spans="2:14" x14ac:dyDescent="0.25">
      <c r="B161" s="564" t="s">
        <v>397</v>
      </c>
      <c r="C161" s="178" t="s">
        <v>367</v>
      </c>
      <c r="D161" s="517"/>
      <c r="E161" s="509">
        <f>+E162+E165</f>
        <v>558908.74932698067</v>
      </c>
      <c r="F161" s="496"/>
      <c r="G161" s="509">
        <f>+G162+G165</f>
        <v>558908.74932698067</v>
      </c>
      <c r="I161" s="509">
        <f>+I162+I165</f>
        <v>340508.74932698067</v>
      </c>
      <c r="J161" s="496"/>
      <c r="K161" s="509">
        <f>+K162+K165</f>
        <v>340508.74932698067</v>
      </c>
      <c r="L161" s="496"/>
      <c r="M161" s="509">
        <f>+M162+M165</f>
        <v>340508.74932698067</v>
      </c>
      <c r="N161" s="525"/>
    </row>
    <row r="162" spans="2:14" x14ac:dyDescent="0.25">
      <c r="B162" s="565" t="s">
        <v>398</v>
      </c>
      <c r="C162" s="178" t="s">
        <v>367</v>
      </c>
      <c r="D162" s="517"/>
      <c r="E162" s="509">
        <f>+E163+E164</f>
        <v>186453.03745333519</v>
      </c>
      <c r="F162" s="526"/>
      <c r="G162" s="509">
        <f>+G163+G164</f>
        <v>186453.03745333519</v>
      </c>
      <c r="I162" s="509">
        <f>+I163+I164</f>
        <v>186453.03745333519</v>
      </c>
      <c r="J162" s="526"/>
      <c r="K162" s="509">
        <f>+K163+K164</f>
        <v>186453.03745333519</v>
      </c>
      <c r="L162" s="526"/>
      <c r="M162" s="509">
        <f>+M163+M164</f>
        <v>186453.03745333519</v>
      </c>
      <c r="N162" s="527"/>
    </row>
    <row r="163" spans="2:14" x14ac:dyDescent="0.25">
      <c r="B163" s="566" t="s">
        <v>394</v>
      </c>
      <c r="C163" s="178" t="s">
        <v>367</v>
      </c>
      <c r="D163" s="517"/>
      <c r="E163" s="510">
        <f>+F90*F108/(F106-F109)</f>
        <v>80652.990781217028</v>
      </c>
      <c r="F163" s="528"/>
      <c r="G163" s="510">
        <f>+F90*F108/(F106-F109)</f>
        <v>80652.990781217028</v>
      </c>
      <c r="I163" s="510">
        <f>+F90*F108/(F106-F109)</f>
        <v>80652.990781217028</v>
      </c>
      <c r="J163" s="528"/>
      <c r="K163" s="510">
        <f>+F90*F108/(F106-F109)</f>
        <v>80652.990781217028</v>
      </c>
      <c r="L163" s="528"/>
      <c r="M163" s="510">
        <f>+F90*F108/(F106-F109)</f>
        <v>80652.990781217028</v>
      </c>
      <c r="N163" s="518"/>
    </row>
    <row r="164" spans="2:14" x14ac:dyDescent="0.25">
      <c r="B164" s="566" t="s">
        <v>395</v>
      </c>
      <c r="C164" s="178" t="s">
        <v>367</v>
      </c>
      <c r="D164" s="517"/>
      <c r="E164" s="510">
        <f>+F101</f>
        <v>105800.04667211814</v>
      </c>
      <c r="F164" s="528"/>
      <c r="G164" s="510">
        <f>+F101</f>
        <v>105800.04667211814</v>
      </c>
      <c r="I164" s="510">
        <f>+F101</f>
        <v>105800.04667211814</v>
      </c>
      <c r="J164" s="528"/>
      <c r="K164" s="510">
        <f>+F101</f>
        <v>105800.04667211814</v>
      </c>
      <c r="L164" s="528"/>
      <c r="M164" s="510">
        <f>+F101</f>
        <v>105800.04667211814</v>
      </c>
      <c r="N164" s="518"/>
    </row>
    <row r="165" spans="2:14" x14ac:dyDescent="0.25">
      <c r="B165" s="565" t="s">
        <v>399</v>
      </c>
      <c r="C165" s="178" t="s">
        <v>367</v>
      </c>
      <c r="D165" s="517"/>
      <c r="E165" s="509">
        <f>+E166+E167</f>
        <v>372455.71187364549</v>
      </c>
      <c r="F165" s="526"/>
      <c r="G165" s="509">
        <f>+G166+G167</f>
        <v>372455.71187364549</v>
      </c>
      <c r="I165" s="509">
        <f>+I166+I167</f>
        <v>154055.71187364549</v>
      </c>
      <c r="J165" s="526"/>
      <c r="K165" s="509">
        <f>+K166+K167</f>
        <v>154055.71187364549</v>
      </c>
      <c r="L165" s="526"/>
      <c r="M165" s="509">
        <f>+M166+M167</f>
        <v>154055.71187364549</v>
      </c>
      <c r="N165" s="527"/>
    </row>
    <row r="166" spans="2:14" x14ac:dyDescent="0.25">
      <c r="B166" s="566" t="s">
        <v>394</v>
      </c>
      <c r="C166" s="178" t="s">
        <v>367</v>
      </c>
      <c r="D166" s="517"/>
      <c r="E166" s="510">
        <f>+F90-E163+F96</f>
        <v>182660.1280164966</v>
      </c>
      <c r="F166" s="528"/>
      <c r="G166" s="510">
        <f>+F90-G163+F96</f>
        <v>182660.1280164966</v>
      </c>
      <c r="I166" s="510">
        <f>+F90-I163</f>
        <v>73460.128016496601</v>
      </c>
      <c r="J166" s="528"/>
      <c r="K166" s="510">
        <f>+F90-K163</f>
        <v>73460.128016496601</v>
      </c>
      <c r="L166" s="528"/>
      <c r="M166" s="510">
        <f>+F90-M163</f>
        <v>73460.128016496601</v>
      </c>
      <c r="N166" s="518"/>
    </row>
    <row r="167" spans="2:14" x14ac:dyDescent="0.25">
      <c r="B167" s="566" t="s">
        <v>395</v>
      </c>
      <c r="C167" s="178" t="s">
        <v>367</v>
      </c>
      <c r="D167" s="517"/>
      <c r="E167" s="510">
        <f>+F100+F99+F98</f>
        <v>189795.58385714889</v>
      </c>
      <c r="F167" s="528"/>
      <c r="G167" s="510">
        <f>+F100+F99+F98</f>
        <v>189795.58385714889</v>
      </c>
      <c r="I167" s="510">
        <f>+F99+F98</f>
        <v>80595.583857148886</v>
      </c>
      <c r="J167" s="528"/>
      <c r="K167" s="510">
        <f>+F98+F99</f>
        <v>80595.583857148886</v>
      </c>
      <c r="L167" s="528"/>
      <c r="M167" s="510">
        <f>+F98+F99</f>
        <v>80595.583857148886</v>
      </c>
      <c r="N167" s="518"/>
    </row>
    <row r="168" spans="2:14" x14ac:dyDescent="0.25">
      <c r="B168" s="564" t="s">
        <v>400</v>
      </c>
      <c r="C168" s="183" t="s">
        <v>401</v>
      </c>
      <c r="E168" s="511">
        <f>E155/E162*1000</f>
        <v>149.45540381898329</v>
      </c>
      <c r="F168" s="529"/>
      <c r="G168" s="511">
        <f>G155/G162*1000</f>
        <v>99.548714119941508</v>
      </c>
      <c r="I168" s="511">
        <f>I155/I162*1000</f>
        <v>149.45540381898329</v>
      </c>
      <c r="J168" s="529"/>
      <c r="K168" s="511">
        <f>K155/K162*1000</f>
        <v>99.548714119941508</v>
      </c>
      <c r="L168" s="529"/>
      <c r="M168" s="511">
        <f>M155/M162*1000</f>
        <v>117.57497574156451</v>
      </c>
      <c r="N168" s="519"/>
    </row>
    <row r="169" spans="2:14" x14ac:dyDescent="0.25">
      <c r="B169" s="564" t="s">
        <v>402</v>
      </c>
      <c r="C169" s="183" t="s">
        <v>401</v>
      </c>
      <c r="E169" s="512">
        <f>E158/E165*1000</f>
        <v>74.235223604598588</v>
      </c>
      <c r="F169" s="529"/>
      <c r="G169" s="512">
        <f>G158/G165*1000</f>
        <v>74.235223604598588</v>
      </c>
      <c r="I169" s="512">
        <f>I158/I165*1000</f>
        <v>125.2417500437254</v>
      </c>
      <c r="J169" s="529"/>
      <c r="K169" s="512">
        <f>K158/K165*1000</f>
        <v>125.2417500437254</v>
      </c>
      <c r="L169" s="529"/>
      <c r="M169" s="512">
        <f>M158/M165*1000</f>
        <v>125.2417500437254</v>
      </c>
      <c r="N169" s="519"/>
    </row>
    <row r="170" spans="2:14" x14ac:dyDescent="0.25">
      <c r="B170" s="567" t="s">
        <v>403</v>
      </c>
      <c r="C170" s="417"/>
      <c r="D170" s="506"/>
      <c r="E170" s="516">
        <f>IF(E117="N/A","N/A",2*(ABS(E168-E169))/(E168+E169))</f>
        <v>0.67253761215437358</v>
      </c>
      <c r="F170" s="530"/>
      <c r="G170" s="516">
        <f>IF(G117="N/A","N/A",2*(ABS(G168-G169))/(G168+G169))</f>
        <v>0.2913214057269965</v>
      </c>
      <c r="H170" s="506"/>
      <c r="I170" s="516">
        <f>IF(I117="N/A","N/A",2*(ABS(I168-I169))/(I168+I169))</f>
        <v>0.17629344487027093</v>
      </c>
      <c r="J170" s="530"/>
      <c r="K170" s="516">
        <f>IF(K117="N/A","N/A",2*(ABS(K168-K169))/(K168+K169))</f>
        <v>0.22859542569454497</v>
      </c>
      <c r="L170" s="530"/>
      <c r="M170" s="516">
        <f>IF(M117="N/A","N/A",2*(ABS(M168-M169))/(M168+M169))</f>
        <v>6.3148650714779958E-2</v>
      </c>
      <c r="N170" s="520"/>
    </row>
    <row r="171" spans="2:14" x14ac:dyDescent="0.25">
      <c r="B171" s="500"/>
      <c r="C171" s="15"/>
      <c r="E171" s="501"/>
      <c r="F171" s="502"/>
      <c r="G171" s="502"/>
      <c r="H171" s="503"/>
      <c r="I171" s="503"/>
      <c r="J171" s="53"/>
      <c r="K171" s="53"/>
    </row>
    <row r="172" spans="2:14" ht="15.75" customHeight="1" x14ac:dyDescent="0.25">
      <c r="B172" s="521" t="s">
        <v>404</v>
      </c>
      <c r="C172" s="563"/>
      <c r="D172" s="423"/>
      <c r="E172" s="580" t="s">
        <v>426</v>
      </c>
      <c r="F172" s="581"/>
      <c r="H172" s="598"/>
      <c r="I172" s="598"/>
      <c r="J172" s="53"/>
      <c r="K172" s="53"/>
    </row>
    <row r="173" spans="2:14" x14ac:dyDescent="0.25">
      <c r="B173" s="564" t="s">
        <v>392</v>
      </c>
      <c r="C173" s="184"/>
      <c r="E173" s="508">
        <f>+E174+E175</f>
        <v>11495.252857893076</v>
      </c>
      <c r="F173" s="513">
        <f>+F175+F174</f>
        <v>0.99999999999999989</v>
      </c>
      <c r="H173" s="497"/>
      <c r="I173" s="523"/>
      <c r="J173" s="53"/>
      <c r="K173" s="53"/>
    </row>
    <row r="174" spans="2:14" x14ac:dyDescent="0.25">
      <c r="B174" s="565" t="s">
        <v>405</v>
      </c>
      <c r="C174" s="178" t="s">
        <v>1</v>
      </c>
      <c r="E174" s="508">
        <f>+(F139*F115+F140*F116)/1000</f>
        <v>3654.0593812055276</v>
      </c>
      <c r="F174" s="495">
        <f>+E174/E173</f>
        <v>0.31787551142874704</v>
      </c>
      <c r="H174" s="497"/>
      <c r="I174" s="497"/>
      <c r="J174" s="505"/>
      <c r="K174" s="53"/>
    </row>
    <row r="175" spans="2:14" x14ac:dyDescent="0.25">
      <c r="B175" s="565" t="s">
        <v>406</v>
      </c>
      <c r="C175" s="178" t="s">
        <v>1</v>
      </c>
      <c r="E175" s="508">
        <f>+(F150*(F106-F108))/1000</f>
        <v>7841.1934766875474</v>
      </c>
      <c r="F175" s="515">
        <f>+E175/E173</f>
        <v>0.68212448857125285</v>
      </c>
      <c r="H175" s="497"/>
      <c r="I175" s="504"/>
      <c r="J175" s="505"/>
      <c r="K175" s="53"/>
    </row>
    <row r="176" spans="2:14" x14ac:dyDescent="0.25">
      <c r="B176" s="565" t="s">
        <v>407</v>
      </c>
      <c r="C176" s="178" t="s">
        <v>377</v>
      </c>
      <c r="D176" s="517"/>
      <c r="E176" s="510">
        <f>+F114</f>
        <v>21051465</v>
      </c>
      <c r="F176" s="582"/>
      <c r="H176" s="497"/>
      <c r="I176" s="497"/>
      <c r="J176" s="53"/>
      <c r="K176" s="53"/>
    </row>
    <row r="177" spans="2:27" x14ac:dyDescent="0.25">
      <c r="B177" s="565" t="s">
        <v>408</v>
      </c>
      <c r="C177" s="178" t="s">
        <v>377</v>
      </c>
      <c r="D177" s="517"/>
      <c r="E177" s="510">
        <f>+F106-F114</f>
        <v>45174036.475249998</v>
      </c>
      <c r="F177" s="583"/>
      <c r="H177" s="497"/>
      <c r="I177" s="497"/>
      <c r="J177" s="53"/>
      <c r="K177" s="53"/>
    </row>
    <row r="178" spans="2:27" x14ac:dyDescent="0.25">
      <c r="B178" s="564" t="s">
        <v>400</v>
      </c>
      <c r="C178" s="183" t="s">
        <v>87</v>
      </c>
      <c r="E178" s="512">
        <f>+E174/E176*1000</f>
        <v>0.17357743896709935</v>
      </c>
      <c r="F178" s="583"/>
      <c r="H178" s="498"/>
      <c r="I178" s="498"/>
      <c r="J178" s="53"/>
      <c r="K178" s="53"/>
    </row>
    <row r="179" spans="2:27" x14ac:dyDescent="0.25">
      <c r="B179" s="564" t="s">
        <v>402</v>
      </c>
      <c r="C179" s="183" t="s">
        <v>87</v>
      </c>
      <c r="E179" s="512">
        <f>+E175/E177*1000</f>
        <v>0.17357743714099114</v>
      </c>
      <c r="F179" s="583"/>
      <c r="H179" s="498"/>
      <c r="I179" s="498"/>
      <c r="J179" s="53"/>
      <c r="K179" s="53"/>
    </row>
    <row r="180" spans="2:27" x14ac:dyDescent="0.25">
      <c r="B180" s="567" t="s">
        <v>403</v>
      </c>
      <c r="C180" s="417"/>
      <c r="D180" s="506"/>
      <c r="E180" s="516">
        <f>IF(E127="N/A","N/A",2*(ABS(E178-E179))/(E178+E179))</f>
        <v>1.0520423792188507E-8</v>
      </c>
      <c r="F180" s="584"/>
      <c r="H180" s="499"/>
      <c r="I180" s="499"/>
    </row>
    <row r="181" spans="2:27" x14ac:dyDescent="0.25">
      <c r="B181" s="53"/>
      <c r="C181" s="53"/>
      <c r="D181" s="53"/>
      <c r="E181" s="53"/>
      <c r="F181" s="53"/>
    </row>
    <row r="182" spans="2:27" ht="15.6" customHeight="1" outlineLevel="1" x14ac:dyDescent="0.25">
      <c r="B182" s="603" t="s">
        <v>429</v>
      </c>
      <c r="C182" s="603"/>
      <c r="D182" s="28"/>
      <c r="E182" s="241"/>
      <c r="F182" s="242"/>
      <c r="G182" s="241"/>
      <c r="H182" s="242"/>
    </row>
    <row r="183" spans="2:27" ht="15.6" customHeight="1" outlineLevel="1" x14ac:dyDescent="0.25">
      <c r="B183" s="603"/>
      <c r="C183" s="603"/>
      <c r="D183" s="28"/>
      <c r="E183" s="578" t="s">
        <v>318</v>
      </c>
      <c r="F183" s="579"/>
      <c r="G183" s="578" t="s">
        <v>319</v>
      </c>
      <c r="H183" s="579"/>
      <c r="P183" s="53"/>
      <c r="X183" s="64"/>
      <c r="Y183" s="64"/>
      <c r="Z183" s="64"/>
      <c r="AA183" s="64"/>
    </row>
    <row r="184" spans="2:27" ht="31.5" customHeight="1" outlineLevel="1" x14ac:dyDescent="0.25">
      <c r="B184" s="219"/>
      <c r="C184" s="220"/>
      <c r="D184" s="28"/>
      <c r="E184" s="243" t="s">
        <v>427</v>
      </c>
      <c r="F184" s="243" t="s">
        <v>428</v>
      </c>
      <c r="G184" s="243" t="s">
        <v>427</v>
      </c>
      <c r="H184" s="243" t="s">
        <v>428</v>
      </c>
      <c r="P184" s="53"/>
      <c r="X184" s="64"/>
      <c r="Y184" s="64"/>
      <c r="Z184" s="64"/>
      <c r="AA184" s="64"/>
    </row>
    <row r="185" spans="2:27" ht="15.6" customHeight="1" outlineLevel="1" x14ac:dyDescent="0.25">
      <c r="B185" s="219" t="s">
        <v>430</v>
      </c>
      <c r="C185" s="220"/>
      <c r="D185" s="28"/>
      <c r="E185" s="331"/>
      <c r="F185" s="332"/>
      <c r="G185" s="331"/>
      <c r="H185" s="332"/>
      <c r="P185" s="53"/>
      <c r="X185" s="64"/>
      <c r="Y185" s="64"/>
      <c r="Z185" s="64"/>
      <c r="AA185" s="64"/>
    </row>
    <row r="186" spans="2:27" ht="15.6" customHeight="1" outlineLevel="1" x14ac:dyDescent="0.25">
      <c r="B186" s="219" t="s">
        <v>431</v>
      </c>
      <c r="C186" s="220"/>
      <c r="D186" s="28"/>
      <c r="E186" s="333"/>
      <c r="F186" s="334"/>
      <c r="G186" s="333"/>
      <c r="H186" s="334"/>
      <c r="I186" s="101"/>
      <c r="J186" s="101"/>
      <c r="P186" s="53"/>
      <c r="X186" s="64"/>
      <c r="Y186" s="64"/>
      <c r="Z186" s="64"/>
      <c r="AA186" s="64"/>
    </row>
    <row r="187" spans="2:27" ht="15.6" customHeight="1" outlineLevel="1" x14ac:dyDescent="0.25">
      <c r="B187" s="182" t="s">
        <v>358</v>
      </c>
      <c r="C187" s="183" t="s">
        <v>1</v>
      </c>
      <c r="D187" s="98"/>
      <c r="E187" s="254">
        <f>E64*E75*(1-(E72+E71)/E64)</f>
        <v>30784.377298875272</v>
      </c>
      <c r="F187" s="254"/>
      <c r="G187" s="254">
        <f>F64*F75*(1-(F72+F71)/F64)</f>
        <v>27149.818956764408</v>
      </c>
      <c r="H187" s="254"/>
      <c r="I187" s="84"/>
      <c r="J187" s="84"/>
      <c r="N187" s="335"/>
      <c r="P187" s="335"/>
      <c r="X187" s="64"/>
      <c r="Y187" s="64"/>
      <c r="Z187" s="64"/>
      <c r="AA187" s="64"/>
    </row>
    <row r="188" spans="2:27" ht="15.6" customHeight="1" outlineLevel="1" x14ac:dyDescent="0.25">
      <c r="B188" s="182" t="s">
        <v>359</v>
      </c>
      <c r="C188" s="183" t="s">
        <v>1</v>
      </c>
      <c r="D188" s="98"/>
      <c r="E188" s="254">
        <f>E64*E76*(1-(E72+E71)/E64)</f>
        <v>4452.1348103846394</v>
      </c>
      <c r="F188" s="254"/>
      <c r="G188" s="254">
        <f>F64*F76*(1-(F72+F71)/F64)</f>
        <v>16921.725452502516</v>
      </c>
      <c r="H188" s="254"/>
      <c r="I188" s="84"/>
      <c r="J188" s="84"/>
      <c r="N188" s="4"/>
      <c r="P188" s="53"/>
      <c r="X188" s="64"/>
      <c r="Y188" s="64"/>
      <c r="Z188" s="64"/>
      <c r="AA188" s="64"/>
    </row>
    <row r="189" spans="2:27" ht="15.6" customHeight="1" outlineLevel="1" x14ac:dyDescent="0.25">
      <c r="B189" s="219" t="s">
        <v>432</v>
      </c>
      <c r="C189" s="220"/>
      <c r="D189" s="98"/>
      <c r="E189" s="278"/>
      <c r="F189" s="278"/>
      <c r="G189" s="278"/>
      <c r="H189" s="278"/>
      <c r="I189" s="84"/>
      <c r="J189" s="84"/>
      <c r="N189" s="4"/>
      <c r="P189" s="53"/>
      <c r="X189" s="64"/>
      <c r="Y189" s="64"/>
      <c r="Z189" s="64"/>
      <c r="AA189" s="64"/>
    </row>
    <row r="190" spans="2:27" ht="15.6" customHeight="1" outlineLevel="1" x14ac:dyDescent="0.25">
      <c r="B190" s="182" t="s">
        <v>358</v>
      </c>
      <c r="C190" s="183" t="s">
        <v>1</v>
      </c>
      <c r="D190" s="98"/>
      <c r="E190" s="254">
        <f>F190</f>
        <v>26825.297760998114</v>
      </c>
      <c r="F190" s="254">
        <f>SUM(I120:I125)</f>
        <v>26825.297760998114</v>
      </c>
      <c r="G190" s="254">
        <f>H190</f>
        <v>25929.561970749579</v>
      </c>
      <c r="H190" s="254">
        <f>SUM(K120:K125)</f>
        <v>25929.561970749579</v>
      </c>
      <c r="I190" s="84"/>
      <c r="J190" s="84"/>
      <c r="P190" s="53"/>
      <c r="X190" s="64"/>
      <c r="Y190" s="64"/>
      <c r="Z190" s="64"/>
      <c r="AA190" s="64"/>
    </row>
    <row r="191" spans="2:27" ht="15.6" customHeight="1" outlineLevel="1" x14ac:dyDescent="0.25">
      <c r="B191" s="182" t="s">
        <v>359</v>
      </c>
      <c r="C191" s="183" t="s">
        <v>1</v>
      </c>
      <c r="D191" s="98"/>
      <c r="E191" s="254">
        <f>SUM(E68:E69)-E190+E14</f>
        <v>22161.214348261794</v>
      </c>
      <c r="F191" s="254">
        <f>+E191+E41</f>
        <v>18643.143736090507</v>
      </c>
      <c r="G191" s="254">
        <f>SUM(F68:F69)-G190+G14</f>
        <v>18141.982438517342</v>
      </c>
      <c r="H191" s="254">
        <f>+G191+G41</f>
        <v>18141.982438517342</v>
      </c>
      <c r="I191" s="84"/>
      <c r="J191" s="84"/>
      <c r="P191" s="79"/>
      <c r="X191" s="64"/>
      <c r="Y191" s="64"/>
      <c r="Z191" s="64"/>
      <c r="AA191" s="64"/>
    </row>
    <row r="192" spans="2:27" ht="15.6" customHeight="1" outlineLevel="1" x14ac:dyDescent="0.25">
      <c r="B192" s="569" t="s">
        <v>433</v>
      </c>
      <c r="C192" s="9"/>
      <c r="D192" s="281"/>
      <c r="E192" s="282"/>
      <c r="F192" s="282"/>
      <c r="G192" s="282"/>
      <c r="H192" s="282"/>
      <c r="I192" s="84"/>
      <c r="J192" s="84"/>
      <c r="X192" s="64"/>
      <c r="Y192" s="64"/>
      <c r="Z192" s="64"/>
      <c r="AA192" s="64"/>
    </row>
    <row r="193" spans="2:27" ht="27" customHeight="1" outlineLevel="1" x14ac:dyDescent="0.25">
      <c r="B193" s="279" t="s">
        <v>434</v>
      </c>
      <c r="C193" s="220"/>
      <c r="D193" s="98"/>
      <c r="E193" s="284"/>
      <c r="F193" s="285"/>
      <c r="G193" s="284"/>
      <c r="H193" s="285"/>
      <c r="I193" s="84"/>
      <c r="J193" s="84"/>
      <c r="P193" s="53"/>
      <c r="X193" s="64"/>
      <c r="Y193" s="64"/>
      <c r="Z193" s="64"/>
      <c r="AA193" s="64"/>
    </row>
    <row r="194" spans="2:27" ht="15.6" customHeight="1" outlineLevel="1" x14ac:dyDescent="0.25">
      <c r="B194" s="182" t="s">
        <v>30</v>
      </c>
      <c r="C194" s="183" t="s">
        <v>0</v>
      </c>
      <c r="D194" s="98"/>
      <c r="E194" s="255">
        <f>E197/(E197+E198)</f>
        <v>0.42627303940916134</v>
      </c>
      <c r="F194" s="255"/>
      <c r="G194" s="255">
        <f>G197/(G197+G198)</f>
        <v>0.58835156149638745</v>
      </c>
      <c r="H194" s="255"/>
      <c r="I194" s="84"/>
      <c r="J194" s="84"/>
      <c r="P194" s="53"/>
      <c r="X194" s="64"/>
      <c r="Y194" s="64"/>
      <c r="Z194" s="64"/>
      <c r="AA194" s="64"/>
    </row>
    <row r="195" spans="2:27" ht="15.6" customHeight="1" outlineLevel="1" x14ac:dyDescent="0.25">
      <c r="B195" s="182" t="s">
        <v>31</v>
      </c>
      <c r="C195" s="183" t="s">
        <v>0</v>
      </c>
      <c r="D195" s="98"/>
      <c r="E195" s="255">
        <f>1-E194</f>
        <v>0.57372696059083861</v>
      </c>
      <c r="F195" s="255"/>
      <c r="G195" s="255">
        <f>1-G194</f>
        <v>0.41164843850361255</v>
      </c>
      <c r="H195" s="255"/>
      <c r="I195" s="84"/>
      <c r="J195" s="84"/>
      <c r="P195" s="53"/>
      <c r="X195" s="64"/>
      <c r="Y195" s="64"/>
      <c r="Z195" s="64"/>
      <c r="AA195" s="64"/>
    </row>
    <row r="196" spans="2:27" ht="27.75" customHeight="1" outlineLevel="1" x14ac:dyDescent="0.25">
      <c r="B196" s="279" t="s">
        <v>435</v>
      </c>
      <c r="C196" s="220"/>
      <c r="D196" s="98"/>
      <c r="E196" s="286"/>
      <c r="F196" s="287"/>
      <c r="G196" s="286"/>
      <c r="H196" s="287"/>
      <c r="I196" s="84"/>
      <c r="J196" s="84"/>
      <c r="P196" s="53"/>
      <c r="X196" s="64"/>
      <c r="Y196" s="64"/>
      <c r="Z196" s="64"/>
      <c r="AA196" s="64"/>
    </row>
    <row r="197" spans="2:27" ht="15.6" customHeight="1" outlineLevel="1" x14ac:dyDescent="0.25">
      <c r="B197" s="182" t="s">
        <v>358</v>
      </c>
      <c r="C197" s="183" t="s">
        <v>1</v>
      </c>
      <c r="D197" s="98"/>
      <c r="E197" s="254">
        <f>+E190</f>
        <v>26825.297760998114</v>
      </c>
      <c r="F197" s="254">
        <f>+F190</f>
        <v>26825.297760998114</v>
      </c>
      <c r="G197" s="254">
        <f>+G190</f>
        <v>25929.561970749579</v>
      </c>
      <c r="H197" s="254">
        <f>+H190</f>
        <v>25929.561970749579</v>
      </c>
      <c r="I197" s="176"/>
      <c r="J197" s="335"/>
      <c r="P197" s="53"/>
      <c r="X197" s="64"/>
      <c r="Y197" s="64"/>
      <c r="Z197" s="64"/>
      <c r="AA197" s="64"/>
    </row>
    <row r="198" spans="2:27" ht="15.6" customHeight="1" outlineLevel="1" x14ac:dyDescent="0.25">
      <c r="B198" s="182" t="s">
        <v>359</v>
      </c>
      <c r="C198" s="183" t="s">
        <v>1</v>
      </c>
      <c r="D198" s="98"/>
      <c r="E198" s="254">
        <f>+E191+E31</f>
        <v>36104.550671779856</v>
      </c>
      <c r="F198" s="254">
        <f>+F191+E31</f>
        <v>32586.480059608566</v>
      </c>
      <c r="G198" s="254">
        <f>+G191+G31</f>
        <v>18141.982438517342</v>
      </c>
      <c r="H198" s="254">
        <f>+H191+G31</f>
        <v>18141.982438517342</v>
      </c>
      <c r="I198" s="176"/>
      <c r="J198" s="335"/>
      <c r="P198" s="79"/>
      <c r="X198" s="64"/>
      <c r="Y198" s="64"/>
      <c r="Z198" s="64"/>
      <c r="AA198" s="64"/>
    </row>
    <row r="199" spans="2:27" ht="15.6" customHeight="1" outlineLevel="1" x14ac:dyDescent="0.25">
      <c r="D199" s="281"/>
      <c r="I199" s="176"/>
      <c r="J199" s="176"/>
      <c r="X199" s="64"/>
      <c r="Y199" s="64"/>
      <c r="Z199" s="64"/>
      <c r="AA199" s="64"/>
    </row>
    <row r="200" spans="2:27" ht="15.6" customHeight="1" outlineLevel="1" x14ac:dyDescent="0.25">
      <c r="B200" s="219" t="s">
        <v>436</v>
      </c>
      <c r="C200" s="220"/>
      <c r="D200" s="98"/>
      <c r="E200" s="284"/>
      <c r="F200" s="285"/>
      <c r="G200" s="284"/>
      <c r="H200" s="285"/>
      <c r="I200" s="176"/>
      <c r="J200" s="176"/>
      <c r="P200" s="53"/>
      <c r="X200" s="64"/>
      <c r="Y200" s="64"/>
      <c r="Z200" s="64"/>
      <c r="AA200" s="64"/>
    </row>
    <row r="201" spans="2:27" ht="15.6" customHeight="1" outlineLevel="1" x14ac:dyDescent="0.25">
      <c r="B201" s="182" t="s">
        <v>358</v>
      </c>
      <c r="C201" s="183" t="s">
        <v>0</v>
      </c>
      <c r="D201" s="98"/>
      <c r="E201" s="255"/>
      <c r="F201" s="255">
        <f>F190/E11</f>
        <v>0.41805441677183158</v>
      </c>
      <c r="G201" s="255"/>
      <c r="H201" s="255">
        <f>H190/F11</f>
        <v>0.38694485936263573</v>
      </c>
      <c r="I201" s="176"/>
      <c r="J201" s="176"/>
      <c r="P201" s="53"/>
      <c r="X201" s="64"/>
      <c r="Y201" s="64"/>
      <c r="Z201" s="64"/>
      <c r="AA201" s="64"/>
    </row>
    <row r="202" spans="2:27" ht="15.6" customHeight="1" outlineLevel="1" x14ac:dyDescent="0.25">
      <c r="B202" s="182" t="s">
        <v>359</v>
      </c>
      <c r="C202" s="183" t="s">
        <v>0</v>
      </c>
      <c r="D202" s="98"/>
      <c r="E202" s="255"/>
      <c r="F202" s="255">
        <f>1-F201</f>
        <v>0.58194558322816836</v>
      </c>
      <c r="G202" s="255"/>
      <c r="H202" s="255">
        <f>1-H201</f>
        <v>0.61305514063736433</v>
      </c>
      <c r="I202" s="176"/>
      <c r="J202" s="176"/>
      <c r="P202" s="53"/>
      <c r="X202" s="64"/>
      <c r="Y202" s="64"/>
      <c r="Z202" s="64"/>
      <c r="AA202" s="64"/>
    </row>
    <row r="203" spans="2:27" ht="15.6" customHeight="1" outlineLevel="1" x14ac:dyDescent="0.25">
      <c r="B203" s="182"/>
      <c r="C203" s="183"/>
      <c r="D203" s="98"/>
      <c r="E203" s="256"/>
      <c r="F203" s="256"/>
      <c r="G203" s="256"/>
      <c r="H203" s="256"/>
      <c r="I203" s="176"/>
      <c r="J203" s="176"/>
      <c r="P203" s="53"/>
      <c r="X203" s="64"/>
      <c r="Y203" s="64"/>
      <c r="Z203" s="64"/>
      <c r="AA203" s="64"/>
    </row>
    <row r="204" spans="2:27" ht="15.6" customHeight="1" outlineLevel="1" x14ac:dyDescent="0.25">
      <c r="B204" s="219" t="s">
        <v>436</v>
      </c>
      <c r="C204" s="220"/>
      <c r="D204" s="98"/>
      <c r="E204" s="284"/>
      <c r="F204" s="285"/>
      <c r="G204" s="284"/>
      <c r="H204" s="285"/>
      <c r="I204" s="176"/>
      <c r="J204" s="176"/>
      <c r="P204" s="53"/>
      <c r="X204" s="64"/>
      <c r="Y204" s="64"/>
      <c r="Z204" s="64"/>
      <c r="AA204" s="64"/>
    </row>
    <row r="205" spans="2:27" ht="15.6" customHeight="1" outlineLevel="1" x14ac:dyDescent="0.25">
      <c r="B205" s="182" t="s">
        <v>358</v>
      </c>
      <c r="C205" s="183" t="s">
        <v>1</v>
      </c>
      <c r="D205" s="98"/>
      <c r="E205" s="254"/>
      <c r="F205" s="254">
        <f>F201*E11</f>
        <v>26825.297760998114</v>
      </c>
      <c r="G205" s="254"/>
      <c r="H205" s="254">
        <f>H201*F11</f>
        <v>25929.561970749579</v>
      </c>
      <c r="I205" s="176"/>
      <c r="J205" s="176"/>
      <c r="P205" s="53"/>
      <c r="X205" s="64"/>
      <c r="Y205" s="64"/>
      <c r="Z205" s="64"/>
      <c r="AA205" s="64"/>
    </row>
    <row r="206" spans="2:27" ht="15.6" customHeight="1" outlineLevel="1" x14ac:dyDescent="0.25">
      <c r="B206" s="182" t="s">
        <v>359</v>
      </c>
      <c r="C206" s="183" t="s">
        <v>1</v>
      </c>
      <c r="D206" s="98"/>
      <c r="E206" s="254"/>
      <c r="F206" s="254">
        <f>F202*E11</f>
        <v>37341.702239001876</v>
      </c>
      <c r="G206" s="254"/>
      <c r="H206" s="254">
        <f>H202*F11</f>
        <v>41081.438029250414</v>
      </c>
      <c r="I206" s="176"/>
      <c r="J206" s="176"/>
      <c r="P206" s="53"/>
      <c r="X206" s="64"/>
      <c r="Y206" s="64"/>
      <c r="Z206" s="64"/>
      <c r="AA206" s="64"/>
    </row>
    <row r="207" spans="2:27" ht="15.6" customHeight="1" outlineLevel="1" x14ac:dyDescent="0.25">
      <c r="B207" s="32"/>
      <c r="C207" s="9"/>
      <c r="D207" s="281"/>
      <c r="E207" s="283"/>
      <c r="F207" s="283"/>
      <c r="G207" s="283"/>
      <c r="H207" s="283"/>
      <c r="I207" s="176"/>
      <c r="J207" s="176"/>
      <c r="X207" s="64"/>
      <c r="Y207" s="64"/>
      <c r="Z207" s="64"/>
      <c r="AA207" s="64"/>
    </row>
    <row r="208" spans="2:27" ht="15.6" customHeight="1" outlineLevel="1" x14ac:dyDescent="0.25">
      <c r="B208" s="219" t="s">
        <v>437</v>
      </c>
      <c r="C208" s="220"/>
      <c r="D208" s="98"/>
      <c r="E208" s="284"/>
      <c r="F208" s="285"/>
      <c r="G208" s="284"/>
      <c r="H208" s="285"/>
      <c r="I208" s="176"/>
      <c r="J208" s="176"/>
      <c r="X208" s="64"/>
      <c r="Y208" s="64"/>
      <c r="Z208" s="64"/>
      <c r="AA208" s="64"/>
    </row>
    <row r="209" spans="2:27" ht="15.6" customHeight="1" outlineLevel="1" x14ac:dyDescent="0.25">
      <c r="B209" s="182" t="s">
        <v>361</v>
      </c>
      <c r="C209" s="183" t="s">
        <v>0</v>
      </c>
      <c r="D209" s="98"/>
      <c r="E209" s="255"/>
      <c r="F209" s="255">
        <f>(SUM(I120:I128,I132:I133,I143:I144))/E11</f>
        <v>0.9044930260102545</v>
      </c>
      <c r="G209" s="255"/>
      <c r="H209" s="255">
        <f>(SUM(K120:K128,K132:K133,K143:K144))/F11</f>
        <v>0.82845722433054658</v>
      </c>
      <c r="I209" s="176"/>
      <c r="J209" s="176"/>
      <c r="X209" s="64"/>
      <c r="Y209" s="64"/>
      <c r="Z209" s="64"/>
      <c r="AA209" s="64"/>
    </row>
    <row r="210" spans="2:27" ht="15.6" customHeight="1" outlineLevel="1" x14ac:dyDescent="0.25">
      <c r="B210" s="182" t="s">
        <v>362</v>
      </c>
      <c r="C210" s="183" t="s">
        <v>0</v>
      </c>
      <c r="D210" s="98"/>
      <c r="E210" s="255"/>
      <c r="F210" s="255">
        <f>1-F209</f>
        <v>9.5506973989745503E-2</v>
      </c>
      <c r="G210" s="255"/>
      <c r="H210" s="255">
        <f>1-H209</f>
        <v>0.17154277566945342</v>
      </c>
      <c r="I210" s="176"/>
      <c r="J210" s="176"/>
      <c r="X210" s="64"/>
      <c r="Y210" s="64"/>
      <c r="Z210" s="64"/>
      <c r="AA210" s="64"/>
    </row>
    <row r="211" spans="2:27" outlineLevel="1" x14ac:dyDescent="0.25">
      <c r="B211" s="182"/>
      <c r="C211" s="183"/>
      <c r="D211" s="98"/>
      <c r="E211" s="257"/>
      <c r="F211" s="257"/>
      <c r="G211" s="257"/>
      <c r="H211" s="257"/>
      <c r="I211" s="176"/>
      <c r="J211" s="176"/>
      <c r="X211" s="64"/>
      <c r="Y211" s="64"/>
      <c r="Z211" s="64"/>
      <c r="AA211" s="64"/>
    </row>
    <row r="212" spans="2:27" outlineLevel="1" x14ac:dyDescent="0.25">
      <c r="B212" s="219" t="s">
        <v>437</v>
      </c>
      <c r="C212" s="220"/>
      <c r="D212" s="98"/>
      <c r="E212" s="286"/>
      <c r="F212" s="287"/>
      <c r="G212" s="286"/>
      <c r="H212" s="287"/>
      <c r="I212" s="84"/>
      <c r="J212" s="84"/>
      <c r="X212" s="64"/>
      <c r="Y212" s="64"/>
      <c r="Z212" s="64"/>
      <c r="AA212" s="64"/>
    </row>
    <row r="213" spans="2:27" outlineLevel="1" x14ac:dyDescent="0.25">
      <c r="B213" s="182" t="s">
        <v>361</v>
      </c>
      <c r="C213" s="183" t="s">
        <v>1</v>
      </c>
      <c r="D213" s="98"/>
      <c r="E213" s="254"/>
      <c r="F213" s="254">
        <f>F209*E11</f>
        <v>58038.603999999992</v>
      </c>
      <c r="G213" s="254"/>
      <c r="H213" s="254">
        <f>H209*F11</f>
        <v>55515.747059614245</v>
      </c>
      <c r="I213" s="84"/>
      <c r="J213" s="84"/>
      <c r="X213" s="64"/>
      <c r="Y213" s="64"/>
      <c r="Z213" s="64"/>
      <c r="AA213" s="64"/>
    </row>
    <row r="214" spans="2:27" outlineLevel="1" x14ac:dyDescent="0.25">
      <c r="B214" s="182" t="s">
        <v>362</v>
      </c>
      <c r="C214" s="183" t="s">
        <v>1</v>
      </c>
      <c r="D214" s="98"/>
      <c r="E214" s="254"/>
      <c r="F214" s="254">
        <f>F210*E11</f>
        <v>6128.3959999999988</v>
      </c>
      <c r="G214" s="254"/>
      <c r="H214" s="254">
        <f>H210*F11</f>
        <v>11495.252940385741</v>
      </c>
      <c r="I214" s="84"/>
      <c r="J214" s="84"/>
    </row>
    <row r="216" spans="2:27" x14ac:dyDescent="0.25">
      <c r="I216" s="4"/>
    </row>
    <row r="217" spans="2:27" outlineLevel="1" x14ac:dyDescent="0.25">
      <c r="B217" s="219" t="s">
        <v>429</v>
      </c>
      <c r="C217" s="238"/>
      <c r="D217" s="238"/>
      <c r="E217" s="238"/>
      <c r="F217" s="238"/>
    </row>
    <row r="218" spans="2:27" outlineLevel="1" x14ac:dyDescent="0.25">
      <c r="B218" s="221" t="s">
        <v>438</v>
      </c>
      <c r="C218" s="239"/>
      <c r="D218" s="239"/>
      <c r="E218" s="239"/>
      <c r="F218" s="239"/>
      <c r="H218" s="4"/>
    </row>
    <row r="219" spans="2:27" outlineLevel="1" x14ac:dyDescent="0.25">
      <c r="H219" s="4"/>
    </row>
    <row r="220" spans="2:27" ht="15.75" outlineLevel="2" x14ac:dyDescent="0.25">
      <c r="B220" s="221" t="s">
        <v>439</v>
      </c>
      <c r="C220" s="220"/>
      <c r="D220" s="28"/>
      <c r="E220" s="240" t="s">
        <v>318</v>
      </c>
      <c r="F220" s="240" t="s">
        <v>319</v>
      </c>
      <c r="K220" s="86"/>
      <c r="L220" s="86"/>
      <c r="M220" s="86"/>
      <c r="R220" s="86"/>
      <c r="S220" s="86"/>
      <c r="T220" s="53"/>
      <c r="U220" s="53"/>
    </row>
    <row r="221" spans="2:27" outlineLevel="2" x14ac:dyDescent="0.25">
      <c r="B221" s="188" t="s">
        <v>440</v>
      </c>
      <c r="C221" s="184"/>
      <c r="D221" s="28"/>
      <c r="E221" s="250"/>
      <c r="F221" s="250"/>
    </row>
    <row r="222" spans="2:27" outlineLevel="2" x14ac:dyDescent="0.25">
      <c r="B222" s="179" t="s">
        <v>441</v>
      </c>
      <c r="C222" s="183"/>
      <c r="D222" s="34"/>
      <c r="E222" s="313" cm="1">
        <f t="array" ref="E222:F225">+TRANSPOSE('Annex 2. Ms, SFs, Short term '!D17:G18)</f>
        <v>1.1000000000000001</v>
      </c>
      <c r="F222" s="313">
        <v>1.1000000000000001</v>
      </c>
    </row>
    <row r="223" spans="2:27" outlineLevel="2" x14ac:dyDescent="0.25">
      <c r="B223" s="179" t="s">
        <v>442</v>
      </c>
      <c r="C223" s="183"/>
      <c r="D223" s="34"/>
      <c r="E223" s="313">
        <v>1.25</v>
      </c>
      <c r="F223" s="313">
        <v>1.25</v>
      </c>
    </row>
    <row r="224" spans="2:27" outlineLevel="2" x14ac:dyDescent="0.25">
      <c r="B224" s="179" t="s">
        <v>443</v>
      </c>
      <c r="C224" s="183"/>
      <c r="D224" s="34"/>
      <c r="E224" s="313">
        <v>1.5</v>
      </c>
      <c r="F224" s="313">
        <v>1.5</v>
      </c>
    </row>
    <row r="225" spans="2:6" outlineLevel="2" x14ac:dyDescent="0.25">
      <c r="B225" s="179" t="s">
        <v>444</v>
      </c>
      <c r="C225" s="183"/>
      <c r="D225" s="34"/>
      <c r="E225" s="313">
        <v>1.5</v>
      </c>
      <c r="F225" s="313">
        <v>1.7</v>
      </c>
    </row>
    <row r="226" spans="2:6" outlineLevel="2" x14ac:dyDescent="0.25">
      <c r="B226" s="188" t="s">
        <v>445</v>
      </c>
      <c r="C226" s="183"/>
      <c r="D226" s="34"/>
      <c r="E226" s="252"/>
      <c r="F226" s="252"/>
    </row>
    <row r="227" spans="2:6" outlineLevel="2" x14ac:dyDescent="0.25">
      <c r="B227" s="179" t="s">
        <v>441</v>
      </c>
      <c r="C227" s="183"/>
      <c r="D227" s="34"/>
      <c r="E227" s="313" cm="1">
        <f t="array" ref="E227:F230">+TRANSPOSE('Annex 2. Ms, SFs, Short term '!H17:K18)</f>
        <v>1.1000000000000001</v>
      </c>
      <c r="F227" s="313">
        <v>1.1000000000000001</v>
      </c>
    </row>
    <row r="228" spans="2:6" outlineLevel="2" x14ac:dyDescent="0.25">
      <c r="B228" s="179" t="s">
        <v>442</v>
      </c>
      <c r="C228" s="183"/>
      <c r="D228" s="34"/>
      <c r="E228" s="313">
        <v>1.25</v>
      </c>
      <c r="F228" s="313">
        <v>1.25</v>
      </c>
    </row>
    <row r="229" spans="2:6" outlineLevel="2" x14ac:dyDescent="0.25">
      <c r="B229" s="179" t="s">
        <v>443</v>
      </c>
      <c r="C229" s="183"/>
      <c r="D229" s="34"/>
      <c r="E229" s="313">
        <v>1.5</v>
      </c>
      <c r="F229" s="313">
        <v>1.5</v>
      </c>
    </row>
    <row r="230" spans="2:6" outlineLevel="2" x14ac:dyDescent="0.25">
      <c r="B230" s="179" t="s">
        <v>444</v>
      </c>
      <c r="C230" s="183"/>
      <c r="D230" s="34"/>
      <c r="E230" s="313">
        <v>1.5</v>
      </c>
      <c r="F230" s="313">
        <v>1.7</v>
      </c>
    </row>
    <row r="231" spans="2:6" outlineLevel="2" x14ac:dyDescent="0.25">
      <c r="B231" s="188" t="s">
        <v>446</v>
      </c>
      <c r="C231" s="183"/>
      <c r="D231" s="34"/>
      <c r="E231" s="251"/>
      <c r="F231" s="251"/>
    </row>
    <row r="232" spans="2:6" outlineLevel="2" x14ac:dyDescent="0.25">
      <c r="B232" s="179" t="s">
        <v>441</v>
      </c>
      <c r="C232" s="183"/>
      <c r="D232" s="34"/>
      <c r="E232" s="313" cm="1">
        <f t="array" ref="E232:F234">+TRANSPOSE('Annex 2. Ms, SFs, Short term '!L17:N18)</f>
        <v>1.25</v>
      </c>
      <c r="F232" s="313">
        <v>1.25</v>
      </c>
    </row>
    <row r="233" spans="2:6" outlineLevel="2" x14ac:dyDescent="0.25">
      <c r="B233" s="179" t="s">
        <v>442</v>
      </c>
      <c r="C233" s="183"/>
      <c r="D233" s="34"/>
      <c r="E233" s="313">
        <v>1.5</v>
      </c>
      <c r="F233" s="313">
        <v>1.5</v>
      </c>
    </row>
    <row r="234" spans="2:6" outlineLevel="2" x14ac:dyDescent="0.25">
      <c r="B234" s="179" t="s">
        <v>443</v>
      </c>
      <c r="C234" s="183"/>
      <c r="D234" s="34"/>
      <c r="E234" s="313">
        <v>3</v>
      </c>
      <c r="F234" s="313">
        <v>3</v>
      </c>
    </row>
    <row r="235" spans="2:6" outlineLevel="2" x14ac:dyDescent="0.25">
      <c r="B235" s="179" t="s">
        <v>444</v>
      </c>
      <c r="C235" s="183"/>
      <c r="D235" s="34"/>
      <c r="E235" s="251"/>
      <c r="F235" s="251"/>
    </row>
    <row r="236" spans="2:6" outlineLevel="2" x14ac:dyDescent="0.25">
      <c r="B236" s="188" t="s">
        <v>447</v>
      </c>
      <c r="C236" s="183"/>
      <c r="D236" s="34"/>
      <c r="E236" s="251"/>
      <c r="F236" s="251"/>
    </row>
    <row r="237" spans="2:6" outlineLevel="2" x14ac:dyDescent="0.25">
      <c r="B237" s="185" t="s">
        <v>448</v>
      </c>
      <c r="C237" s="183"/>
      <c r="D237" s="34"/>
      <c r="E237" s="314" cm="1">
        <f t="array" ref="E237:F240">+TRANSPOSE('Annex 2. Ms, SFs, Short term '!D30:G31)</f>
        <v>1.53</v>
      </c>
      <c r="F237" s="314">
        <v>1.5</v>
      </c>
    </row>
    <row r="238" spans="2:6" outlineLevel="2" x14ac:dyDescent="0.25">
      <c r="B238" s="185" t="s">
        <v>449</v>
      </c>
      <c r="C238" s="183"/>
      <c r="D238" s="34"/>
      <c r="E238" s="314">
        <v>0.64</v>
      </c>
      <c r="F238" s="314">
        <v>0.7</v>
      </c>
    </row>
    <row r="239" spans="2:6" outlineLevel="2" x14ac:dyDescent="0.25">
      <c r="B239" s="185" t="s">
        <v>450</v>
      </c>
      <c r="C239" s="183"/>
      <c r="D239" s="34"/>
      <c r="E239" s="314">
        <v>0.49</v>
      </c>
      <c r="F239" s="314">
        <v>0.49</v>
      </c>
    </row>
    <row r="240" spans="2:6" outlineLevel="2" x14ac:dyDescent="0.25">
      <c r="B240" s="185" t="s">
        <v>451</v>
      </c>
      <c r="C240" s="183"/>
      <c r="D240" s="34"/>
      <c r="E240" s="314">
        <v>1.34</v>
      </c>
      <c r="F240" s="314">
        <v>1.31</v>
      </c>
    </row>
    <row r="241" spans="2:6" outlineLevel="2" x14ac:dyDescent="0.25">
      <c r="B241" s="188" t="s">
        <v>452</v>
      </c>
      <c r="C241" s="183"/>
      <c r="D241" s="34"/>
      <c r="E241" s="251"/>
      <c r="F241" s="251"/>
    </row>
    <row r="242" spans="2:6" outlineLevel="2" x14ac:dyDescent="0.25">
      <c r="B242" s="185" t="s">
        <v>196</v>
      </c>
      <c r="C242" s="183"/>
      <c r="D242" s="34"/>
      <c r="E242" s="314" cm="1">
        <f t="array" ref="E242:F253">+TRANSPOSE('Annex 2. Ms, SFs, Short term '!H30:S31)</f>
        <v>1.82</v>
      </c>
      <c r="F242" s="314">
        <v>1.73</v>
      </c>
    </row>
    <row r="243" spans="2:6" outlineLevel="2" x14ac:dyDescent="0.25">
      <c r="B243" s="185" t="s">
        <v>197</v>
      </c>
      <c r="C243" s="183"/>
      <c r="D243" s="34"/>
      <c r="E243" s="314">
        <v>1.37</v>
      </c>
      <c r="F243" s="314">
        <v>1.36</v>
      </c>
    </row>
    <row r="244" spans="2:6" outlineLevel="2" x14ac:dyDescent="0.25">
      <c r="B244" s="185" t="s">
        <v>198</v>
      </c>
      <c r="C244" s="183"/>
      <c r="D244" s="34"/>
      <c r="E244" s="314">
        <v>1.41</v>
      </c>
      <c r="F244" s="314">
        <v>1.39</v>
      </c>
    </row>
    <row r="245" spans="2:6" outlineLevel="2" x14ac:dyDescent="0.25">
      <c r="B245" s="185" t="s">
        <v>199</v>
      </c>
      <c r="C245" s="183"/>
      <c r="D245" s="34"/>
      <c r="E245" s="314">
        <v>0.81</v>
      </c>
      <c r="F245" s="314">
        <v>0.89</v>
      </c>
    </row>
    <row r="246" spans="2:6" outlineLevel="2" x14ac:dyDescent="0.25">
      <c r="B246" s="185" t="s">
        <v>200</v>
      </c>
      <c r="C246" s="183"/>
      <c r="D246" s="34"/>
      <c r="E246" s="314">
        <v>0.61</v>
      </c>
      <c r="F246" s="314">
        <v>0.7</v>
      </c>
    </row>
    <row r="247" spans="2:6" outlineLevel="2" x14ac:dyDescent="0.25">
      <c r="B247" s="185" t="s">
        <v>201</v>
      </c>
      <c r="C247" s="183"/>
      <c r="D247" s="34"/>
      <c r="E247" s="314">
        <v>0.49</v>
      </c>
      <c r="F247" s="314">
        <v>0.53</v>
      </c>
    </row>
    <row r="248" spans="2:6" outlineLevel="2" x14ac:dyDescent="0.25">
      <c r="B248" s="185" t="s">
        <v>202</v>
      </c>
      <c r="C248" s="183"/>
      <c r="D248" s="34"/>
      <c r="E248" s="314">
        <v>0.39</v>
      </c>
      <c r="F248" s="314">
        <v>0.43</v>
      </c>
    </row>
    <row r="249" spans="2:6" outlineLevel="2" x14ac:dyDescent="0.25">
      <c r="B249" s="185" t="s">
        <v>203</v>
      </c>
      <c r="C249" s="183"/>
      <c r="D249" s="34"/>
      <c r="E249" s="314">
        <v>0.46</v>
      </c>
      <c r="F249" s="314">
        <v>0.48</v>
      </c>
    </row>
    <row r="250" spans="2:6" outlineLevel="2" x14ac:dyDescent="0.25">
      <c r="B250" s="185" t="s">
        <v>204</v>
      </c>
      <c r="C250" s="183"/>
      <c r="D250" s="34"/>
      <c r="E250" s="314">
        <v>0.62</v>
      </c>
      <c r="F250" s="314">
        <v>0.56000000000000005</v>
      </c>
    </row>
    <row r="251" spans="2:6" outlineLevel="2" x14ac:dyDescent="0.25">
      <c r="B251" s="185" t="s">
        <v>205</v>
      </c>
      <c r="C251" s="183"/>
      <c r="D251" s="34"/>
      <c r="E251" s="314">
        <v>1.07</v>
      </c>
      <c r="F251" s="314">
        <v>0.98</v>
      </c>
    </row>
    <row r="252" spans="2:6" outlineLevel="2" x14ac:dyDescent="0.25">
      <c r="B252" s="185" t="s">
        <v>206</v>
      </c>
      <c r="C252" s="183"/>
      <c r="D252" s="34"/>
      <c r="E252" s="314">
        <v>1.35</v>
      </c>
      <c r="F252" s="314">
        <v>1.28</v>
      </c>
    </row>
    <row r="253" spans="2:6" outlineLevel="2" x14ac:dyDescent="0.25">
      <c r="B253" s="185" t="s">
        <v>207</v>
      </c>
      <c r="C253" s="183"/>
      <c r="D253" s="34"/>
      <c r="E253" s="314">
        <v>1.6</v>
      </c>
      <c r="F253" s="314">
        <v>1.66</v>
      </c>
    </row>
    <row r="254" spans="2:6" outlineLevel="2" x14ac:dyDescent="0.25">
      <c r="B254" s="188" t="s">
        <v>453</v>
      </c>
      <c r="C254" s="183"/>
      <c r="D254" s="34"/>
      <c r="E254" s="253"/>
      <c r="F254" s="253"/>
    </row>
    <row r="255" spans="2:6" outlineLevel="2" x14ac:dyDescent="0.25">
      <c r="B255" s="185" t="s">
        <v>196</v>
      </c>
      <c r="C255" s="183"/>
      <c r="D255" s="34"/>
      <c r="E255" s="314" cm="1">
        <f t="array" ref="E255:F266">+TRANSPOSE('Annex 2. Ms, SFs, Short term '!T30:AE31)</f>
        <v>1.82</v>
      </c>
      <c r="F255" s="314">
        <v>1.73</v>
      </c>
    </row>
    <row r="256" spans="2:6" outlineLevel="2" x14ac:dyDescent="0.25">
      <c r="B256" s="185" t="s">
        <v>197</v>
      </c>
      <c r="C256" s="183"/>
      <c r="D256" s="34"/>
      <c r="E256" s="314">
        <v>1.37</v>
      </c>
      <c r="F256" s="314">
        <v>1.36</v>
      </c>
    </row>
    <row r="257" spans="2:18" outlineLevel="2" x14ac:dyDescent="0.25">
      <c r="B257" s="185" t="s">
        <v>198</v>
      </c>
      <c r="C257" s="183"/>
      <c r="D257" s="34"/>
      <c r="E257" s="314">
        <v>1.41</v>
      </c>
      <c r="F257" s="314">
        <v>1.39</v>
      </c>
    </row>
    <row r="258" spans="2:18" outlineLevel="2" x14ac:dyDescent="0.25">
      <c r="B258" s="185" t="s">
        <v>199</v>
      </c>
      <c r="C258" s="183"/>
      <c r="D258" s="34"/>
      <c r="E258" s="314">
        <v>0.81</v>
      </c>
      <c r="F258" s="314">
        <v>0.89</v>
      </c>
    </row>
    <row r="259" spans="2:18" outlineLevel="2" x14ac:dyDescent="0.25">
      <c r="B259" s="185" t="s">
        <v>200</v>
      </c>
      <c r="C259" s="183"/>
      <c r="D259" s="34"/>
      <c r="E259" s="314">
        <v>0.61</v>
      </c>
      <c r="F259" s="314">
        <v>0.7</v>
      </c>
    </row>
    <row r="260" spans="2:18" outlineLevel="2" x14ac:dyDescent="0.25">
      <c r="B260" s="185" t="s">
        <v>201</v>
      </c>
      <c r="C260" s="183"/>
      <c r="D260" s="34"/>
      <c r="E260" s="314">
        <v>0.49</v>
      </c>
      <c r="F260" s="314">
        <v>0.53</v>
      </c>
    </row>
    <row r="261" spans="2:18" outlineLevel="2" x14ac:dyDescent="0.25">
      <c r="B261" s="185" t="s">
        <v>202</v>
      </c>
      <c r="C261" s="183"/>
      <c r="D261" s="34"/>
      <c r="E261" s="314">
        <v>0.39</v>
      </c>
      <c r="F261" s="314">
        <v>0.43</v>
      </c>
      <c r="K261" s="4"/>
      <c r="L261" s="189"/>
      <c r="M261" s="189"/>
    </row>
    <row r="262" spans="2:18" outlineLevel="2" x14ac:dyDescent="0.25">
      <c r="B262" s="185" t="s">
        <v>203</v>
      </c>
      <c r="C262" s="183"/>
      <c r="D262" s="34"/>
      <c r="E262" s="314">
        <v>0.46</v>
      </c>
      <c r="F262" s="314">
        <v>0.48</v>
      </c>
    </row>
    <row r="263" spans="2:18" outlineLevel="2" x14ac:dyDescent="0.25">
      <c r="B263" s="185" t="s">
        <v>204</v>
      </c>
      <c r="C263" s="183"/>
      <c r="D263" s="34"/>
      <c r="E263" s="314">
        <v>0.62</v>
      </c>
      <c r="F263" s="314">
        <v>0.56000000000000005</v>
      </c>
      <c r="L263" s="187"/>
    </row>
    <row r="264" spans="2:18" outlineLevel="2" x14ac:dyDescent="0.25">
      <c r="B264" s="185" t="s">
        <v>205</v>
      </c>
      <c r="C264" s="183"/>
      <c r="D264" s="34"/>
      <c r="E264" s="314">
        <v>1.07</v>
      </c>
      <c r="F264" s="314">
        <v>0.98</v>
      </c>
    </row>
    <row r="265" spans="2:18" outlineLevel="2" x14ac:dyDescent="0.25">
      <c r="B265" s="185" t="s">
        <v>206</v>
      </c>
      <c r="C265" s="183"/>
      <c r="D265" s="34"/>
      <c r="E265" s="314">
        <v>1.35</v>
      </c>
      <c r="F265" s="314">
        <v>1.28</v>
      </c>
      <c r="R265" s="85"/>
    </row>
    <row r="266" spans="2:18" ht="15.75" outlineLevel="2" x14ac:dyDescent="0.25">
      <c r="B266" s="185" t="s">
        <v>207</v>
      </c>
      <c r="C266" s="183"/>
      <c r="D266" s="34"/>
      <c r="E266" s="314">
        <v>1.6</v>
      </c>
      <c r="F266" s="314">
        <v>1.66</v>
      </c>
      <c r="L266" s="91"/>
      <c r="R266" s="85"/>
    </row>
    <row r="268" spans="2:18" ht="17.100000000000001" customHeight="1" outlineLevel="1" x14ac:dyDescent="0.25">
      <c r="B268" s="95"/>
      <c r="C268" s="96"/>
      <c r="D268" s="97"/>
      <c r="E268" s="245">
        <v>2023</v>
      </c>
      <c r="F268" s="245">
        <v>2024</v>
      </c>
      <c r="H268" s="244">
        <v>2023</v>
      </c>
      <c r="I268" s="244">
        <v>2024</v>
      </c>
    </row>
    <row r="269" spans="2:18" ht="51.75" customHeight="1" outlineLevel="1" x14ac:dyDescent="0.25">
      <c r="B269" s="221" t="s">
        <v>454</v>
      </c>
      <c r="C269" s="220"/>
      <c r="D269" s="28"/>
      <c r="E269" s="595" t="s">
        <v>456</v>
      </c>
      <c r="F269" s="595"/>
      <c r="H269" s="595" t="s">
        <v>455</v>
      </c>
      <c r="I269" s="595"/>
    </row>
    <row r="270" spans="2:18" outlineLevel="1" x14ac:dyDescent="0.25">
      <c r="B270" s="288" t="s">
        <v>470</v>
      </c>
      <c r="C270" s="289"/>
      <c r="E270" s="290"/>
      <c r="F270" s="290"/>
      <c r="H270" s="290">
        <f>+SUM(H271:H274)</f>
        <v>0</v>
      </c>
      <c r="I270" s="290">
        <f>+SUM(I271:I274)</f>
        <v>0</v>
      </c>
    </row>
    <row r="271" spans="2:18" outlineLevel="1" x14ac:dyDescent="0.25">
      <c r="B271" s="179" t="s">
        <v>471</v>
      </c>
      <c r="C271" s="178" t="s">
        <v>460</v>
      </c>
      <c r="E271" s="340">
        <v>0</v>
      </c>
      <c r="F271" s="340">
        <v>0</v>
      </c>
      <c r="H271" s="340">
        <v>0</v>
      </c>
      <c r="I271" s="340">
        <v>0</v>
      </c>
    </row>
    <row r="272" spans="2:18" outlineLevel="1" x14ac:dyDescent="0.25">
      <c r="B272" s="179" t="s">
        <v>472</v>
      </c>
      <c r="C272" s="178" t="s">
        <v>460</v>
      </c>
      <c r="E272" s="340">
        <v>0</v>
      </c>
      <c r="F272" s="340">
        <v>0</v>
      </c>
      <c r="H272" s="340">
        <v>0</v>
      </c>
      <c r="I272" s="340">
        <v>0</v>
      </c>
    </row>
    <row r="273" spans="2:9" outlineLevel="1" x14ac:dyDescent="0.25">
      <c r="B273" s="179" t="s">
        <v>473</v>
      </c>
      <c r="C273" s="178" t="s">
        <v>460</v>
      </c>
      <c r="E273" s="340">
        <v>0</v>
      </c>
      <c r="F273" s="340">
        <v>0</v>
      </c>
      <c r="H273" s="340">
        <v>0</v>
      </c>
      <c r="I273" s="340">
        <v>0</v>
      </c>
    </row>
    <row r="274" spans="2:9" outlineLevel="1" x14ac:dyDescent="0.25">
      <c r="B274" s="179" t="s">
        <v>474</v>
      </c>
      <c r="C274" s="178" t="s">
        <v>460</v>
      </c>
      <c r="E274" s="340">
        <v>0</v>
      </c>
      <c r="F274" s="340">
        <v>0</v>
      </c>
      <c r="H274" s="340">
        <v>0</v>
      </c>
      <c r="I274" s="340">
        <v>0</v>
      </c>
    </row>
    <row r="275" spans="2:9" outlineLevel="1" x14ac:dyDescent="0.25">
      <c r="B275" s="288" t="s">
        <v>479</v>
      </c>
      <c r="C275" s="273"/>
      <c r="E275" s="290"/>
      <c r="F275" s="290"/>
      <c r="H275" s="290">
        <f>+SUM(H276:H279)</f>
        <v>15533.61240598652</v>
      </c>
      <c r="I275" s="290">
        <f>+SUM(I276:I279)</f>
        <v>11617.340034991219</v>
      </c>
    </row>
    <row r="276" spans="2:9" outlineLevel="1" x14ac:dyDescent="0.25">
      <c r="B276" s="179" t="s">
        <v>475</v>
      </c>
      <c r="C276" s="178" t="s">
        <v>460</v>
      </c>
      <c r="E276" s="340">
        <v>0</v>
      </c>
      <c r="F276" s="340">
        <v>0</v>
      </c>
      <c r="H276" s="340">
        <f>+E276</f>
        <v>0</v>
      </c>
      <c r="I276" s="340">
        <f>+F276</f>
        <v>0</v>
      </c>
    </row>
    <row r="277" spans="2:9" outlineLevel="1" x14ac:dyDescent="0.25">
      <c r="B277" s="179" t="s">
        <v>476</v>
      </c>
      <c r="C277" s="178" t="s">
        <v>460</v>
      </c>
      <c r="E277" s="340">
        <v>655.70377189115027</v>
      </c>
      <c r="F277" s="340">
        <v>0</v>
      </c>
      <c r="H277" s="340">
        <f t="shared" ref="H277:I279" si="80">+E277*E222</f>
        <v>721.27414908026537</v>
      </c>
      <c r="I277" s="340">
        <f t="shared" si="80"/>
        <v>0</v>
      </c>
    </row>
    <row r="278" spans="2:9" outlineLevel="1" x14ac:dyDescent="0.25">
      <c r="B278" s="179" t="s">
        <v>477</v>
      </c>
      <c r="C278" s="178" t="s">
        <v>460</v>
      </c>
      <c r="E278" s="340">
        <v>262.76597920249526</v>
      </c>
      <c r="F278" s="340">
        <v>2135.2739123357137</v>
      </c>
      <c r="H278" s="340">
        <f t="shared" si="80"/>
        <v>328.45747400311905</v>
      </c>
      <c r="I278" s="340">
        <f t="shared" si="80"/>
        <v>2669.092390419642</v>
      </c>
    </row>
    <row r="279" spans="2:9" outlineLevel="1" x14ac:dyDescent="0.25">
      <c r="B279" s="179" t="s">
        <v>478</v>
      </c>
      <c r="C279" s="178" t="s">
        <v>460</v>
      </c>
      <c r="E279" s="340">
        <v>9655.9205219354244</v>
      </c>
      <c r="F279" s="340">
        <v>5965.4984297143837</v>
      </c>
      <c r="H279" s="340">
        <f t="shared" si="80"/>
        <v>14483.880782903136</v>
      </c>
      <c r="I279" s="340">
        <f t="shared" si="80"/>
        <v>8948.2476445715765</v>
      </c>
    </row>
    <row r="280" spans="2:9" outlineLevel="1" x14ac:dyDescent="0.25">
      <c r="B280" s="288" t="s">
        <v>480</v>
      </c>
      <c r="C280" s="273"/>
      <c r="E280" s="290"/>
      <c r="F280" s="290"/>
      <c r="H280" s="290">
        <f>+SUM(H281:H284)</f>
        <v>23444.931506849316</v>
      </c>
      <c r="I280" s="290">
        <f>+SUM(I281:I284)</f>
        <v>16139.316524528731</v>
      </c>
    </row>
    <row r="281" spans="2:9" outlineLevel="1" x14ac:dyDescent="0.25">
      <c r="B281" s="179" t="s">
        <v>481</v>
      </c>
      <c r="C281" s="178" t="s">
        <v>460</v>
      </c>
      <c r="E281" s="340">
        <v>14000</v>
      </c>
      <c r="F281" s="340">
        <v>2526.7235661725877</v>
      </c>
      <c r="H281" s="340">
        <f>+E281</f>
        <v>14000</v>
      </c>
      <c r="I281" s="340">
        <f>+F281</f>
        <v>2526.7235661725877</v>
      </c>
    </row>
    <row r="282" spans="2:9" outlineLevel="1" x14ac:dyDescent="0.25">
      <c r="B282" s="179" t="s">
        <v>482</v>
      </c>
      <c r="C282" s="178" t="s">
        <v>460</v>
      </c>
      <c r="E282" s="340">
        <v>8586.3013698630148</v>
      </c>
      <c r="F282" s="340">
        <v>0</v>
      </c>
      <c r="H282" s="340">
        <f t="shared" ref="H282:I284" si="81">+E282*E222</f>
        <v>9444.9315068493179</v>
      </c>
      <c r="I282" s="340">
        <f t="shared" si="81"/>
        <v>0</v>
      </c>
    </row>
    <row r="283" spans="2:9" outlineLevel="1" x14ac:dyDescent="0.25">
      <c r="B283" s="179" t="s">
        <v>483</v>
      </c>
      <c r="C283" s="178" t="s">
        <v>460</v>
      </c>
      <c r="E283" s="340">
        <v>0</v>
      </c>
      <c r="F283" s="340">
        <v>4149.938439867371</v>
      </c>
      <c r="H283" s="340">
        <f t="shared" si="81"/>
        <v>0</v>
      </c>
      <c r="I283" s="340">
        <f t="shared" si="81"/>
        <v>5187.423049834214</v>
      </c>
    </row>
    <row r="284" spans="2:9" outlineLevel="1" x14ac:dyDescent="0.25">
      <c r="B284" s="179" t="s">
        <v>484</v>
      </c>
      <c r="C284" s="178" t="s">
        <v>460</v>
      </c>
      <c r="E284" s="340">
        <v>0</v>
      </c>
      <c r="F284" s="340">
        <v>5616.7799390146192</v>
      </c>
      <c r="H284" s="340">
        <f t="shared" si="81"/>
        <v>0</v>
      </c>
      <c r="I284" s="340">
        <f t="shared" si="81"/>
        <v>8425.1699085219298</v>
      </c>
    </row>
    <row r="285" spans="2:9" outlineLevel="1" x14ac:dyDescent="0.25">
      <c r="B285" s="288" t="s">
        <v>485</v>
      </c>
      <c r="C285" s="273"/>
      <c r="E285" s="290"/>
      <c r="F285" s="290"/>
      <c r="H285" s="290">
        <f>+SUM(H286:H289)</f>
        <v>121408.552542989</v>
      </c>
      <c r="I285" s="290">
        <f>+SUM(I286:I289)</f>
        <v>126356.46223819369</v>
      </c>
    </row>
    <row r="286" spans="2:9" outlineLevel="1" x14ac:dyDescent="0.25">
      <c r="B286" s="109" t="s">
        <v>486</v>
      </c>
      <c r="C286" s="178" t="s">
        <v>460</v>
      </c>
      <c r="E286" s="340">
        <v>5000</v>
      </c>
      <c r="F286" s="340">
        <v>9817.8308748804102</v>
      </c>
      <c r="H286" s="340">
        <f>+E286</f>
        <v>5000</v>
      </c>
      <c r="I286" s="340">
        <f>+F286</f>
        <v>9817.8308748804102</v>
      </c>
    </row>
    <row r="287" spans="2:9" outlineLevel="1" x14ac:dyDescent="0.25">
      <c r="B287" s="109" t="s">
        <v>487</v>
      </c>
      <c r="C287" s="178" t="s">
        <v>460</v>
      </c>
      <c r="E287" s="340">
        <v>51429.34719557676</v>
      </c>
      <c r="F287" s="340">
        <v>22594.460095698578</v>
      </c>
      <c r="H287" s="340">
        <f t="shared" ref="H287:I289" si="82">+E287*E222</f>
        <v>56572.281915134437</v>
      </c>
      <c r="I287" s="340">
        <f t="shared" si="82"/>
        <v>24853.906105268437</v>
      </c>
    </row>
    <row r="288" spans="2:9" outlineLevel="1" x14ac:dyDescent="0.25">
      <c r="B288" s="109" t="s">
        <v>488</v>
      </c>
      <c r="C288" s="178" t="s">
        <v>460</v>
      </c>
      <c r="E288" s="340">
        <v>1003.6150737624283</v>
      </c>
      <c r="F288" s="340">
        <v>38199.311766943545</v>
      </c>
      <c r="H288" s="340">
        <f t="shared" si="82"/>
        <v>1254.5188422030353</v>
      </c>
      <c r="I288" s="340">
        <f t="shared" si="82"/>
        <v>47749.139708679431</v>
      </c>
    </row>
    <row r="289" spans="2:19" outlineLevel="1" x14ac:dyDescent="0.25">
      <c r="B289" s="109" t="s">
        <v>489</v>
      </c>
      <c r="C289" s="178" t="s">
        <v>460</v>
      </c>
      <c r="E289" s="340">
        <v>39054.501190434356</v>
      </c>
      <c r="F289" s="340">
        <v>29290.39036624361</v>
      </c>
      <c r="H289" s="340">
        <f t="shared" si="82"/>
        <v>58581.751785651533</v>
      </c>
      <c r="I289" s="340">
        <f t="shared" si="82"/>
        <v>43935.585549365416</v>
      </c>
    </row>
    <row r="290" spans="2:19" outlineLevel="1" x14ac:dyDescent="0.25">
      <c r="B290" s="288" t="s">
        <v>490</v>
      </c>
      <c r="C290" s="273"/>
      <c r="E290" s="290"/>
      <c r="F290" s="290"/>
      <c r="H290" s="290">
        <f>+SUM(H291:H294)</f>
        <v>39755.49369420189</v>
      </c>
      <c r="I290" s="290">
        <f>+SUM(I291:I294)</f>
        <v>30365.95917731474</v>
      </c>
    </row>
    <row r="291" spans="2:19" outlineLevel="1" x14ac:dyDescent="0.25">
      <c r="B291" s="109" t="s">
        <v>491</v>
      </c>
      <c r="C291" s="178" t="s">
        <v>460</v>
      </c>
      <c r="E291" s="340">
        <v>0</v>
      </c>
      <c r="F291" s="340">
        <v>3021.1212451414076</v>
      </c>
      <c r="H291" s="340">
        <f>+E291</f>
        <v>0</v>
      </c>
      <c r="I291" s="340">
        <f>+F291</f>
        <v>3021.1212451414076</v>
      </c>
    </row>
    <row r="292" spans="2:19" outlineLevel="1" x14ac:dyDescent="0.25">
      <c r="B292" s="109" t="s">
        <v>492</v>
      </c>
      <c r="C292" s="178" t="s">
        <v>460</v>
      </c>
      <c r="E292" s="340">
        <v>0</v>
      </c>
      <c r="F292" s="340">
        <v>9663.530953740601</v>
      </c>
      <c r="H292" s="340">
        <f t="shared" ref="H292:I294" si="83">+E292*E227</f>
        <v>0</v>
      </c>
      <c r="I292" s="340">
        <f t="shared" si="83"/>
        <v>10629.884049114662</v>
      </c>
    </row>
    <row r="293" spans="2:19" outlineLevel="1" x14ac:dyDescent="0.25">
      <c r="B293" s="109" t="s">
        <v>493</v>
      </c>
      <c r="C293" s="178" t="s">
        <v>460</v>
      </c>
      <c r="E293" s="340">
        <v>3.1298807266947803</v>
      </c>
      <c r="F293" s="340">
        <v>8122.6310702172868</v>
      </c>
      <c r="H293" s="340">
        <f t="shared" si="83"/>
        <v>3.9123509083684755</v>
      </c>
      <c r="I293" s="340">
        <f t="shared" si="83"/>
        <v>10153.288837771608</v>
      </c>
    </row>
    <row r="294" spans="2:19" outlineLevel="1" x14ac:dyDescent="0.25">
      <c r="B294" s="109" t="s">
        <v>494</v>
      </c>
      <c r="C294" s="178" t="s">
        <v>460</v>
      </c>
      <c r="E294" s="340">
        <v>26501.054228862347</v>
      </c>
      <c r="F294" s="340">
        <v>4374.4433635247078</v>
      </c>
      <c r="H294" s="340">
        <f t="shared" si="83"/>
        <v>39751.581343293525</v>
      </c>
      <c r="I294" s="340">
        <f t="shared" si="83"/>
        <v>6561.6650452870617</v>
      </c>
    </row>
    <row r="295" spans="2:19" outlineLevel="1" x14ac:dyDescent="0.25">
      <c r="B295" s="288" t="s">
        <v>495</v>
      </c>
      <c r="C295" s="273"/>
      <c r="E295" s="290"/>
      <c r="F295" s="290"/>
      <c r="H295" s="290">
        <f>+SUM(H296:H299)</f>
        <v>40436.712328767127</v>
      </c>
      <c r="I295" s="290">
        <f>+SUM(I296:I299)</f>
        <v>50229.624679834153</v>
      </c>
    </row>
    <row r="296" spans="2:19" outlineLevel="1" x14ac:dyDescent="0.25">
      <c r="B296" s="109" t="s">
        <v>496</v>
      </c>
      <c r="C296" s="178" t="s">
        <v>460</v>
      </c>
      <c r="E296" s="340">
        <v>24000</v>
      </c>
      <c r="F296" s="340">
        <v>1419.7770492291556</v>
      </c>
      <c r="H296" s="340">
        <f>+E296</f>
        <v>24000</v>
      </c>
      <c r="I296" s="340">
        <f>+F296</f>
        <v>1419.7770492291556</v>
      </c>
    </row>
    <row r="297" spans="2:19" outlineLevel="1" x14ac:dyDescent="0.25">
      <c r="B297" s="109" t="s">
        <v>497</v>
      </c>
      <c r="C297" s="178" t="s">
        <v>460</v>
      </c>
      <c r="E297" s="340">
        <v>14942.465753424658</v>
      </c>
      <c r="F297" s="340">
        <v>0</v>
      </c>
      <c r="H297" s="340">
        <f t="shared" ref="H297:I299" si="84">+E297*E227</f>
        <v>16436.712328767124</v>
      </c>
      <c r="I297" s="340">
        <f t="shared" si="84"/>
        <v>0</v>
      </c>
    </row>
    <row r="298" spans="2:19" ht="15" customHeight="1" outlineLevel="1" x14ac:dyDescent="0.25">
      <c r="B298" s="109" t="s">
        <v>498</v>
      </c>
      <c r="C298" s="178" t="s">
        <v>460</v>
      </c>
      <c r="E298" s="340">
        <v>0</v>
      </c>
      <c r="F298" s="340">
        <v>36233.616471059308</v>
      </c>
      <c r="H298" s="340">
        <f t="shared" si="84"/>
        <v>0</v>
      </c>
      <c r="I298" s="340">
        <f t="shared" si="84"/>
        <v>45292.020588824133</v>
      </c>
    </row>
    <row r="299" spans="2:19" outlineLevel="1" x14ac:dyDescent="0.25">
      <c r="B299" s="109" t="s">
        <v>499</v>
      </c>
      <c r="C299" s="178" t="s">
        <v>460</v>
      </c>
      <c r="E299" s="340">
        <v>0</v>
      </c>
      <c r="F299" s="340">
        <v>2345.2180278539095</v>
      </c>
      <c r="H299" s="340">
        <f t="shared" si="84"/>
        <v>0</v>
      </c>
      <c r="I299" s="340">
        <f t="shared" si="84"/>
        <v>3517.8270417808644</v>
      </c>
    </row>
    <row r="300" spans="2:19" outlineLevel="1" x14ac:dyDescent="0.25">
      <c r="B300" s="288" t="s">
        <v>504</v>
      </c>
      <c r="C300" s="273"/>
      <c r="E300" s="290"/>
      <c r="F300" s="290"/>
      <c r="H300" s="290">
        <f>+SUM(H302:H334)</f>
        <v>101606.39064041346</v>
      </c>
      <c r="I300" s="290">
        <f>+SUM(I302:I334)</f>
        <v>105800.04667211814</v>
      </c>
    </row>
    <row r="301" spans="2:19" outlineLevel="1" x14ac:dyDescent="0.25">
      <c r="B301" s="109" t="s">
        <v>503</v>
      </c>
      <c r="C301" s="7"/>
      <c r="E301" s="340"/>
      <c r="F301" s="340"/>
      <c r="H301" s="372"/>
      <c r="I301" s="372"/>
      <c r="K301" s="344"/>
      <c r="S301" s="344"/>
    </row>
    <row r="302" spans="2:19" outlineLevel="1" x14ac:dyDescent="0.25">
      <c r="B302" s="110" t="s">
        <v>372</v>
      </c>
      <c r="C302" s="178" t="s">
        <v>460</v>
      </c>
      <c r="E302" s="340">
        <v>27707.616000000002</v>
      </c>
      <c r="F302" s="340">
        <v>27676.288109399553</v>
      </c>
      <c r="H302" s="340">
        <f>+E302</f>
        <v>27707.616000000002</v>
      </c>
      <c r="I302" s="340">
        <f>+F302</f>
        <v>27676.288109399553</v>
      </c>
    </row>
    <row r="303" spans="2:19" outlineLevel="1" x14ac:dyDescent="0.25">
      <c r="B303" s="110" t="s">
        <v>500</v>
      </c>
      <c r="C303" s="178" t="s">
        <v>460</v>
      </c>
      <c r="E303" s="340">
        <v>42000</v>
      </c>
      <c r="F303" s="340">
        <v>42000</v>
      </c>
      <c r="H303" s="340">
        <f>+E303</f>
        <v>42000</v>
      </c>
      <c r="I303" s="340">
        <f>+F303</f>
        <v>42000</v>
      </c>
    </row>
    <row r="304" spans="2:19" outlineLevel="1" x14ac:dyDescent="0.25">
      <c r="B304" s="109" t="s">
        <v>502</v>
      </c>
      <c r="C304" s="178"/>
      <c r="E304" s="340"/>
      <c r="F304" s="340"/>
      <c r="H304" s="340"/>
      <c r="I304" s="340"/>
    </row>
    <row r="305" spans="2:11" outlineLevel="1" x14ac:dyDescent="0.25">
      <c r="B305" s="110" t="s">
        <v>448</v>
      </c>
      <c r="C305" s="178" t="s">
        <v>460</v>
      </c>
      <c r="E305" s="340">
        <v>1737.6507558382123</v>
      </c>
      <c r="F305" s="340">
        <v>5152.2571448087419</v>
      </c>
      <c r="H305" s="340">
        <f>+E305*$E$232*E237</f>
        <v>3323.257070540581</v>
      </c>
      <c r="I305" s="340">
        <f>+F305*$F$232*F237</f>
        <v>9660.4821465163914</v>
      </c>
      <c r="K305" s="101"/>
    </row>
    <row r="306" spans="2:11" outlineLevel="1" x14ac:dyDescent="0.25">
      <c r="B306" s="110" t="s">
        <v>449</v>
      </c>
      <c r="C306" s="178" t="s">
        <v>460</v>
      </c>
      <c r="E306" s="340">
        <v>180.10304819515147</v>
      </c>
      <c r="F306" s="340">
        <v>694.8285109289618</v>
      </c>
      <c r="H306" s="340">
        <f>+E306*$E$232*E238</f>
        <v>144.08243855612119</v>
      </c>
      <c r="I306" s="340">
        <f>+F306*$F$232*F238</f>
        <v>607.97494706284158</v>
      </c>
      <c r="K306" s="101"/>
    </row>
    <row r="307" spans="2:11" outlineLevel="1" x14ac:dyDescent="0.25">
      <c r="B307" s="110" t="s">
        <v>450</v>
      </c>
      <c r="C307" s="178" t="s">
        <v>460</v>
      </c>
      <c r="E307" s="340">
        <v>186.42436290239667</v>
      </c>
      <c r="F307" s="340">
        <v>327.60395628415301</v>
      </c>
      <c r="H307" s="340">
        <f>+E307*$E$232*E239</f>
        <v>114.18492227771796</v>
      </c>
      <c r="I307" s="340">
        <f>+F307*$F$232*F239</f>
        <v>200.6574232240437</v>
      </c>
      <c r="K307" s="101"/>
    </row>
    <row r="308" spans="2:11" outlineLevel="1" x14ac:dyDescent="0.25">
      <c r="B308" s="110" t="s">
        <v>451</v>
      </c>
      <c r="C308" s="178" t="s">
        <v>460</v>
      </c>
      <c r="E308" s="340">
        <v>392.69353372494686</v>
      </c>
      <c r="F308" s="340">
        <v>2467.4477923497261</v>
      </c>
      <c r="H308" s="340">
        <f>+E308*$E$232*E240</f>
        <v>657.76166898928602</v>
      </c>
      <c r="I308" s="340">
        <f>+F308*$F$232*F240</f>
        <v>4040.4457599726766</v>
      </c>
      <c r="K308" s="101"/>
    </row>
    <row r="309" spans="2:11" outlineLevel="1" x14ac:dyDescent="0.25">
      <c r="B309" s="109" t="s">
        <v>501</v>
      </c>
      <c r="C309" s="178"/>
      <c r="E309" s="340"/>
      <c r="F309" s="340"/>
      <c r="H309" s="340"/>
      <c r="I309" s="340"/>
      <c r="K309" s="101"/>
    </row>
    <row r="310" spans="2:11" outlineLevel="1" x14ac:dyDescent="0.25">
      <c r="B310" s="110" t="s">
        <v>196</v>
      </c>
      <c r="C310" s="178" t="s">
        <v>460</v>
      </c>
      <c r="E310" s="340">
        <v>649.21214624555046</v>
      </c>
      <c r="F310" s="340">
        <v>1197.4592759562845</v>
      </c>
      <c r="H310" s="340">
        <f t="shared" ref="H310:H321" si="85">+E310*$E$233*E242</f>
        <v>1772.3491592503528</v>
      </c>
      <c r="I310" s="340">
        <f t="shared" ref="I310:I321" si="86">+F310*$F$233*F242</f>
        <v>3107.4068211065583</v>
      </c>
      <c r="K310" s="101"/>
    </row>
    <row r="311" spans="2:11" outlineLevel="1" x14ac:dyDescent="0.25">
      <c r="B311" s="110" t="s">
        <v>197</v>
      </c>
      <c r="C311" s="178" t="s">
        <v>460</v>
      </c>
      <c r="E311" s="340">
        <v>578.24179369904414</v>
      </c>
      <c r="F311" s="340">
        <v>998.58576229508219</v>
      </c>
      <c r="H311" s="340">
        <f t="shared" si="85"/>
        <v>1188.2868860515357</v>
      </c>
      <c r="I311" s="340">
        <f t="shared" si="86"/>
        <v>2037.114955081968</v>
      </c>
      <c r="K311" s="101"/>
    </row>
    <row r="312" spans="2:11" outlineLevel="1" x14ac:dyDescent="0.25">
      <c r="B312" s="110" t="s">
        <v>198</v>
      </c>
      <c r="C312" s="178" t="s">
        <v>460</v>
      </c>
      <c r="E312" s="340">
        <v>287.26943764775046</v>
      </c>
      <c r="F312" s="340">
        <v>232.35380874316937</v>
      </c>
      <c r="H312" s="340">
        <f t="shared" si="85"/>
        <v>607.5748606249922</v>
      </c>
      <c r="I312" s="340">
        <f t="shared" si="86"/>
        <v>484.4576912295081</v>
      </c>
      <c r="K312" s="101"/>
    </row>
    <row r="313" spans="2:11" outlineLevel="1" x14ac:dyDescent="0.25">
      <c r="B313" s="110" t="s">
        <v>199</v>
      </c>
      <c r="C313" s="178" t="s">
        <v>460</v>
      </c>
      <c r="E313" s="340">
        <v>201.69405690030769</v>
      </c>
      <c r="F313" s="340">
        <v>864.53221311475409</v>
      </c>
      <c r="H313" s="340">
        <f t="shared" si="85"/>
        <v>245.05827913387384</v>
      </c>
      <c r="I313" s="340">
        <f t="shared" si="86"/>
        <v>1154.1505045081967</v>
      </c>
      <c r="K313" s="101"/>
    </row>
    <row r="314" spans="2:11" outlineLevel="1" x14ac:dyDescent="0.25">
      <c r="B314" s="110" t="s">
        <v>200</v>
      </c>
      <c r="C314" s="178" t="s">
        <v>460</v>
      </c>
      <c r="E314" s="340">
        <v>85.771779493135639</v>
      </c>
      <c r="F314" s="340">
        <v>332.2054016393443</v>
      </c>
      <c r="H314" s="340">
        <f t="shared" si="85"/>
        <v>78.481178236219108</v>
      </c>
      <c r="I314" s="340">
        <f t="shared" si="86"/>
        <v>348.8156717213115</v>
      </c>
      <c r="K314" s="101"/>
    </row>
    <row r="315" spans="2:11" outlineLevel="1" x14ac:dyDescent="0.25">
      <c r="B315" s="110" t="s">
        <v>201</v>
      </c>
      <c r="C315" s="178" t="s">
        <v>460</v>
      </c>
      <c r="E315" s="340">
        <v>6.0924741792142116</v>
      </c>
      <c r="F315" s="340">
        <v>7.8211475409836071</v>
      </c>
      <c r="H315" s="340">
        <f t="shared" si="85"/>
        <v>4.4779685217224454</v>
      </c>
      <c r="I315" s="340">
        <f t="shared" si="86"/>
        <v>6.2178122950819681</v>
      </c>
      <c r="K315" s="101"/>
    </row>
    <row r="316" spans="2:11" outlineLevel="1" x14ac:dyDescent="0.25">
      <c r="B316" s="110" t="s">
        <v>202</v>
      </c>
      <c r="C316" s="178" t="s">
        <v>460</v>
      </c>
      <c r="E316" s="340">
        <v>0.47814354317883689</v>
      </c>
      <c r="F316" s="340">
        <v>48.592245901639345</v>
      </c>
      <c r="H316" s="340">
        <f t="shared" si="85"/>
        <v>0.27971397275961962</v>
      </c>
      <c r="I316" s="340">
        <f t="shared" si="86"/>
        <v>31.341998606557379</v>
      </c>
      <c r="K316" s="101"/>
    </row>
    <row r="317" spans="2:11" outlineLevel="1" x14ac:dyDescent="0.25">
      <c r="B317" s="110" t="s">
        <v>203</v>
      </c>
      <c r="C317" s="178" t="s">
        <v>460</v>
      </c>
      <c r="E317" s="340">
        <v>0.47814354317883684</v>
      </c>
      <c r="F317" s="340">
        <v>209.72457103825133</v>
      </c>
      <c r="H317" s="340">
        <f t="shared" si="85"/>
        <v>0.32991904479339745</v>
      </c>
      <c r="I317" s="340">
        <f t="shared" si="86"/>
        <v>151.00169114754095</v>
      </c>
      <c r="K317" s="101"/>
    </row>
    <row r="318" spans="2:11" outlineLevel="1" x14ac:dyDescent="0.25">
      <c r="B318" s="110" t="s">
        <v>204</v>
      </c>
      <c r="C318" s="178" t="s">
        <v>460</v>
      </c>
      <c r="E318" s="340">
        <v>13.583132622594917</v>
      </c>
      <c r="F318" s="340">
        <v>494.49581967213112</v>
      </c>
      <c r="H318" s="340">
        <f t="shared" si="85"/>
        <v>12.632313339013272</v>
      </c>
      <c r="I318" s="340">
        <f t="shared" si="86"/>
        <v>415.37648852459017</v>
      </c>
      <c r="K318" s="101"/>
    </row>
    <row r="319" spans="2:11" outlineLevel="1" x14ac:dyDescent="0.25">
      <c r="B319" s="110" t="s">
        <v>205</v>
      </c>
      <c r="C319" s="178" t="s">
        <v>460</v>
      </c>
      <c r="E319" s="340">
        <v>1.2511422713179563</v>
      </c>
      <c r="F319" s="340">
        <v>26.569117486338801</v>
      </c>
      <c r="H319" s="340">
        <f t="shared" si="85"/>
        <v>2.00808334546532</v>
      </c>
      <c r="I319" s="340">
        <f t="shared" si="86"/>
        <v>39.056602704918035</v>
      </c>
      <c r="K319" s="101"/>
    </row>
    <row r="320" spans="2:11" outlineLevel="1" x14ac:dyDescent="0.25">
      <c r="B320" s="110" t="s">
        <v>206</v>
      </c>
      <c r="C320" s="178" t="s">
        <v>460</v>
      </c>
      <c r="E320" s="340">
        <v>1.8277422537642634</v>
      </c>
      <c r="F320" s="340">
        <v>135.2084426229508</v>
      </c>
      <c r="H320" s="340">
        <f t="shared" si="85"/>
        <v>3.7011780638726335</v>
      </c>
      <c r="I320" s="340">
        <f t="shared" si="86"/>
        <v>259.60020983606557</v>
      </c>
      <c r="K320" s="101"/>
    </row>
    <row r="321" spans="2:18" outlineLevel="1" x14ac:dyDescent="0.25">
      <c r="B321" s="110" t="s">
        <v>207</v>
      </c>
      <c r="C321" s="178" t="s">
        <v>460</v>
      </c>
      <c r="E321" s="340">
        <v>812.68703294067905</v>
      </c>
      <c r="F321" s="340">
        <v>1293.1096912568305</v>
      </c>
      <c r="H321" s="340">
        <f t="shared" si="85"/>
        <v>1950.4488790576297</v>
      </c>
      <c r="I321" s="340">
        <f t="shared" si="86"/>
        <v>3219.8431312295079</v>
      </c>
      <c r="K321" s="101"/>
    </row>
    <row r="322" spans="2:18" outlineLevel="1" x14ac:dyDescent="0.25">
      <c r="B322" s="109" t="s">
        <v>505</v>
      </c>
      <c r="C322" s="178"/>
      <c r="E322" s="340"/>
      <c r="F322" s="340"/>
      <c r="H322" s="340"/>
      <c r="I322" s="340"/>
      <c r="K322" s="101"/>
    </row>
    <row r="323" spans="2:18" outlineLevel="1" x14ac:dyDescent="0.25">
      <c r="B323" s="110" t="s">
        <v>196</v>
      </c>
      <c r="C323" s="178" t="s">
        <v>460</v>
      </c>
      <c r="E323" s="340">
        <v>901.19520736611344</v>
      </c>
      <c r="F323" s="340">
        <v>161.35536065573774</v>
      </c>
      <c r="H323" s="340">
        <f t="shared" ref="H323:H334" si="87">+E323*$E$234*E255</f>
        <v>4920.5258322189802</v>
      </c>
      <c r="I323" s="340">
        <f t="shared" ref="I323:I334" si="88">+F323*$F$234*F255</f>
        <v>837.43432180327886</v>
      </c>
      <c r="K323" s="101"/>
    </row>
    <row r="324" spans="2:18" outlineLevel="1" x14ac:dyDescent="0.25">
      <c r="B324" s="110" t="s">
        <v>197</v>
      </c>
      <c r="C324" s="178" t="s">
        <v>460</v>
      </c>
      <c r="E324" s="340">
        <v>1117.8218722077195</v>
      </c>
      <c r="F324" s="340">
        <v>42.505327868852454</v>
      </c>
      <c r="H324" s="340">
        <f t="shared" si="87"/>
        <v>4594.2478947737272</v>
      </c>
      <c r="I324" s="340">
        <f t="shared" si="88"/>
        <v>173.42173770491803</v>
      </c>
      <c r="K324" s="101"/>
    </row>
    <row r="325" spans="2:18" outlineLevel="1" x14ac:dyDescent="0.25">
      <c r="B325" s="110" t="s">
        <v>198</v>
      </c>
      <c r="C325" s="178" t="s">
        <v>460</v>
      </c>
      <c r="E325" s="340">
        <v>443.65225766801467</v>
      </c>
      <c r="F325" s="340">
        <v>344.81842622950813</v>
      </c>
      <c r="H325" s="340">
        <f t="shared" si="87"/>
        <v>1876.6490499357019</v>
      </c>
      <c r="I325" s="340">
        <f t="shared" si="88"/>
        <v>1437.8928373770489</v>
      </c>
      <c r="K325" s="101"/>
    </row>
    <row r="326" spans="2:18" outlineLevel="1" x14ac:dyDescent="0.25">
      <c r="B326" s="110" t="s">
        <v>199</v>
      </c>
      <c r="C326" s="178" t="s">
        <v>460</v>
      </c>
      <c r="E326" s="340">
        <v>321.74203700042563</v>
      </c>
      <c r="F326" s="340">
        <v>117.43034972677596</v>
      </c>
      <c r="H326" s="340">
        <f t="shared" si="87"/>
        <v>781.8331499110343</v>
      </c>
      <c r="I326" s="340">
        <f t="shared" si="88"/>
        <v>313.53903377049181</v>
      </c>
      <c r="K326" s="101"/>
    </row>
    <row r="327" spans="2:18" outlineLevel="1" x14ac:dyDescent="0.25">
      <c r="B327" s="110" t="s">
        <v>200</v>
      </c>
      <c r="C327" s="178" t="s">
        <v>460</v>
      </c>
      <c r="E327" s="340">
        <v>226.36898863239892</v>
      </c>
      <c r="F327" s="340">
        <v>58.120456284153008</v>
      </c>
      <c r="H327" s="340">
        <f t="shared" si="87"/>
        <v>414.25524919729003</v>
      </c>
      <c r="I327" s="340">
        <f t="shared" si="88"/>
        <v>122.05295819672129</v>
      </c>
      <c r="K327" s="101"/>
    </row>
    <row r="328" spans="2:18" outlineLevel="1" x14ac:dyDescent="0.25">
      <c r="B328" s="110" t="s">
        <v>201</v>
      </c>
      <c r="C328" s="178" t="s">
        <v>460</v>
      </c>
      <c r="E328" s="340">
        <v>776.28649198463734</v>
      </c>
      <c r="F328" s="340">
        <v>221.43923497267758</v>
      </c>
      <c r="H328" s="340">
        <f t="shared" si="87"/>
        <v>1141.1411432174168</v>
      </c>
      <c r="I328" s="340">
        <f t="shared" si="88"/>
        <v>352.08838360655739</v>
      </c>
      <c r="K328" s="101"/>
    </row>
    <row r="329" spans="2:18" outlineLevel="1" x14ac:dyDescent="0.25">
      <c r="B329" s="110" t="s">
        <v>202</v>
      </c>
      <c r="C329" s="178" t="s">
        <v>460</v>
      </c>
      <c r="E329" s="340">
        <v>553.06307090694474</v>
      </c>
      <c r="F329" s="340">
        <v>138.45009562841528</v>
      </c>
      <c r="H329" s="340">
        <f t="shared" si="87"/>
        <v>647.08379296112537</v>
      </c>
      <c r="I329" s="340">
        <f t="shared" si="88"/>
        <v>178.6006233606557</v>
      </c>
      <c r="K329" s="101"/>
    </row>
    <row r="330" spans="2:18" outlineLevel="1" x14ac:dyDescent="0.25">
      <c r="B330" s="110" t="s">
        <v>203</v>
      </c>
      <c r="C330" s="178" t="s">
        <v>460</v>
      </c>
      <c r="E330" s="340">
        <v>261.27378347615195</v>
      </c>
      <c r="F330" s="340">
        <v>336.58541530054646</v>
      </c>
      <c r="H330" s="340">
        <f t="shared" si="87"/>
        <v>360.55782119708971</v>
      </c>
      <c r="I330" s="340">
        <f t="shared" si="88"/>
        <v>484.68299803278688</v>
      </c>
      <c r="K330" s="101"/>
    </row>
    <row r="331" spans="2:18" outlineLevel="1" x14ac:dyDescent="0.25">
      <c r="B331" s="110" t="s">
        <v>204</v>
      </c>
      <c r="C331" s="178" t="s">
        <v>460</v>
      </c>
      <c r="E331" s="340">
        <v>787.28882683827476</v>
      </c>
      <c r="F331" s="340">
        <v>1.3366120218579232</v>
      </c>
      <c r="H331" s="340">
        <f t="shared" si="87"/>
        <v>1464.357217919191</v>
      </c>
      <c r="I331" s="340">
        <f t="shared" si="88"/>
        <v>2.2455081967213113</v>
      </c>
      <c r="K331" s="101"/>
    </row>
    <row r="332" spans="2:18" outlineLevel="1" x14ac:dyDescent="0.25">
      <c r="B332" s="110" t="s">
        <v>205</v>
      </c>
      <c r="C332" s="178" t="s">
        <v>460</v>
      </c>
      <c r="E332" s="340">
        <v>201.28120822807904</v>
      </c>
      <c r="F332" s="340">
        <v>92.708183060109292</v>
      </c>
      <c r="H332" s="340">
        <f t="shared" si="87"/>
        <v>646.11267841213373</v>
      </c>
      <c r="I332" s="340">
        <f t="shared" si="88"/>
        <v>272.56205819672135</v>
      </c>
      <c r="K332" s="101"/>
    </row>
    <row r="333" spans="2:18" outlineLevel="1" x14ac:dyDescent="0.25">
      <c r="B333" s="110" t="s">
        <v>206</v>
      </c>
      <c r="C333" s="178" t="s">
        <v>460</v>
      </c>
      <c r="E333" s="340">
        <v>283.98396169338019</v>
      </c>
      <c r="F333" s="340">
        <v>550.81886065573781</v>
      </c>
      <c r="H333" s="340">
        <f t="shared" si="87"/>
        <v>1150.1350448581898</v>
      </c>
      <c r="I333" s="340">
        <f t="shared" si="88"/>
        <v>2115.1444249180331</v>
      </c>
      <c r="K333" s="101"/>
    </row>
    <row r="334" spans="2:18" outlineLevel="1" x14ac:dyDescent="0.25">
      <c r="B334" s="110" t="s">
        <v>207</v>
      </c>
      <c r="C334" s="178" t="s">
        <v>460</v>
      </c>
      <c r="E334" s="340">
        <v>791.0335930845032</v>
      </c>
      <c r="F334" s="340">
        <v>817.29916120218593</v>
      </c>
      <c r="H334" s="340">
        <f t="shared" si="87"/>
        <v>3796.9612468056157</v>
      </c>
      <c r="I334" s="340">
        <f t="shared" si="88"/>
        <v>4070.1498227868856</v>
      </c>
      <c r="K334" s="101"/>
      <c r="R334" s="346"/>
    </row>
    <row r="335" spans="2:18" x14ac:dyDescent="0.25">
      <c r="R335" s="346"/>
    </row>
    <row r="337" spans="1:23" ht="15.75" outlineLevel="1" x14ac:dyDescent="0.25">
      <c r="A337" s="421"/>
      <c r="B337" s="422" t="s">
        <v>76</v>
      </c>
      <c r="C337" s="422"/>
      <c r="D337" s="423"/>
      <c r="E337" s="424">
        <v>2023</v>
      </c>
      <c r="F337" s="425">
        <v>2024</v>
      </c>
    </row>
    <row r="338" spans="1:23" outlineLevel="1" x14ac:dyDescent="0.25">
      <c r="A338" s="426"/>
      <c r="B338" s="322" t="s">
        <v>82</v>
      </c>
      <c r="C338" s="322"/>
      <c r="E338" s="322"/>
      <c r="F338" s="427"/>
    </row>
    <row r="339" spans="1:23" outlineLevel="1" x14ac:dyDescent="0.25">
      <c r="A339" s="426"/>
      <c r="B339" s="179" t="s">
        <v>464</v>
      </c>
      <c r="C339" s="183"/>
      <c r="D339" s="34"/>
      <c r="E339" s="183"/>
      <c r="F339" s="428"/>
      <c r="W339" s="378"/>
    </row>
    <row r="340" spans="1:23" outlineLevel="1" x14ac:dyDescent="0.25">
      <c r="A340" s="426"/>
      <c r="B340" s="185" t="s">
        <v>448</v>
      </c>
      <c r="C340" s="183" t="s">
        <v>461</v>
      </c>
      <c r="D340" s="34"/>
      <c r="E340" s="379" cm="1">
        <f t="array" ref="E340:E343">+TRANSPOSE('Annex 2. Ms, SFs, Short term '!D41:G41)</f>
        <v>38.723917808219191</v>
      </c>
      <c r="F340" s="429" cm="1">
        <f t="array" ref="F340:F343">+TRANSPOSE('Annex 2. Ms, SFs, Short term '!D58:G58)</f>
        <v>39.04720491803279</v>
      </c>
      <c r="W340" s="378"/>
    </row>
    <row r="341" spans="1:23" outlineLevel="1" x14ac:dyDescent="0.25">
      <c r="A341" s="426"/>
      <c r="B341" s="185" t="s">
        <v>449</v>
      </c>
      <c r="C341" s="183" t="s">
        <v>461</v>
      </c>
      <c r="D341" s="34"/>
      <c r="E341" s="379">
        <v>39.154183561643841</v>
      </c>
      <c r="F341" s="429">
        <v>39.04720491803279</v>
      </c>
      <c r="W341" s="378"/>
    </row>
    <row r="342" spans="1:23" outlineLevel="1" x14ac:dyDescent="0.25">
      <c r="A342" s="426"/>
      <c r="B342" s="185" t="s">
        <v>450</v>
      </c>
      <c r="C342" s="183" t="s">
        <v>461</v>
      </c>
      <c r="D342" s="34"/>
      <c r="E342" s="379">
        <v>39.584449315068504</v>
      </c>
      <c r="F342" s="429">
        <v>39.476295081967223</v>
      </c>
      <c r="W342" s="378"/>
    </row>
    <row r="343" spans="1:23" outlineLevel="1" x14ac:dyDescent="0.25">
      <c r="A343" s="426"/>
      <c r="B343" s="185" t="s">
        <v>451</v>
      </c>
      <c r="C343" s="183" t="s">
        <v>461</v>
      </c>
      <c r="D343" s="34"/>
      <c r="E343" s="379">
        <v>39.584449315068504</v>
      </c>
      <c r="F343" s="429">
        <v>39.476295081967223</v>
      </c>
      <c r="W343" s="378"/>
    </row>
    <row r="344" spans="1:23" outlineLevel="1" x14ac:dyDescent="0.25">
      <c r="A344" s="426"/>
      <c r="B344" s="179" t="s">
        <v>465</v>
      </c>
      <c r="C344" s="183"/>
      <c r="D344" s="34"/>
      <c r="E344" s="183"/>
      <c r="F344" s="428"/>
      <c r="W344" s="378"/>
    </row>
    <row r="345" spans="1:23" outlineLevel="1" x14ac:dyDescent="0.25">
      <c r="A345" s="426"/>
      <c r="B345" s="185" t="s">
        <v>196</v>
      </c>
      <c r="C345" s="183" t="s">
        <v>462</v>
      </c>
      <c r="D345" s="34"/>
      <c r="E345" s="379" cm="1">
        <f t="array" ref="E345:E356">+TRANSPOSE('Annex 2. Ms, SFs, Short term '!H41:S41)</f>
        <v>15.15708904109589</v>
      </c>
      <c r="F345" s="429" cm="1">
        <f t="array" ref="F345:F356">+TRANSPOSE('Annex 2. Ms, SFs, Short term '!H58:S58)</f>
        <v>15.115676229508196</v>
      </c>
      <c r="W345" s="378"/>
    </row>
    <row r="346" spans="1:23" outlineLevel="1" x14ac:dyDescent="0.25">
      <c r="A346" s="426"/>
      <c r="B346" s="185" t="s">
        <v>197</v>
      </c>
      <c r="C346" s="183" t="s">
        <v>462</v>
      </c>
      <c r="D346" s="34"/>
      <c r="E346" s="379">
        <v>13.690273972602743</v>
      </c>
      <c r="F346" s="429">
        <v>14.140471311475411</v>
      </c>
      <c r="W346" s="378"/>
    </row>
    <row r="347" spans="1:23" outlineLevel="1" x14ac:dyDescent="0.25">
      <c r="A347" s="426"/>
      <c r="B347" s="185" t="s">
        <v>198</v>
      </c>
      <c r="C347" s="183" t="s">
        <v>462</v>
      </c>
      <c r="D347" s="34"/>
      <c r="E347" s="379">
        <v>15.15708904109589</v>
      </c>
      <c r="F347" s="429">
        <v>15.115676229508196</v>
      </c>
      <c r="W347" s="378"/>
    </row>
    <row r="348" spans="1:23" outlineLevel="1" x14ac:dyDescent="0.25">
      <c r="A348" s="426"/>
      <c r="B348" s="185" t="s">
        <v>199</v>
      </c>
      <c r="C348" s="183" t="s">
        <v>462</v>
      </c>
      <c r="D348" s="34"/>
      <c r="E348" s="379">
        <v>14.668150684931508</v>
      </c>
      <c r="F348" s="429">
        <v>14.628073770491802</v>
      </c>
      <c r="W348" s="378"/>
    </row>
    <row r="349" spans="1:23" outlineLevel="1" x14ac:dyDescent="0.25">
      <c r="A349" s="426"/>
      <c r="B349" s="185" t="s">
        <v>200</v>
      </c>
      <c r="C349" s="183" t="s">
        <v>462</v>
      </c>
      <c r="D349" s="34"/>
      <c r="E349" s="379">
        <v>15.15708904109589</v>
      </c>
      <c r="F349" s="429">
        <v>15.115676229508196</v>
      </c>
      <c r="W349" s="378"/>
    </row>
    <row r="350" spans="1:23" outlineLevel="1" x14ac:dyDescent="0.25">
      <c r="A350" s="426"/>
      <c r="B350" s="185" t="s">
        <v>201</v>
      </c>
      <c r="C350" s="183" t="s">
        <v>462</v>
      </c>
      <c r="D350" s="34"/>
      <c r="E350" s="379">
        <v>14.668150684931508</v>
      </c>
      <c r="F350" s="429">
        <v>14.628073770491802</v>
      </c>
      <c r="W350" s="378"/>
    </row>
    <row r="351" spans="1:23" outlineLevel="1" x14ac:dyDescent="0.25">
      <c r="A351" s="426"/>
      <c r="B351" s="185" t="s">
        <v>202</v>
      </c>
      <c r="C351" s="183" t="s">
        <v>462</v>
      </c>
      <c r="D351" s="34"/>
      <c r="E351" s="379">
        <v>15.15708904109589</v>
      </c>
      <c r="F351" s="429">
        <v>15.115676229508196</v>
      </c>
      <c r="W351" s="378"/>
    </row>
    <row r="352" spans="1:23" outlineLevel="1" x14ac:dyDescent="0.25">
      <c r="A352" s="426"/>
      <c r="B352" s="185" t="s">
        <v>203</v>
      </c>
      <c r="C352" s="183" t="s">
        <v>462</v>
      </c>
      <c r="D352" s="34"/>
      <c r="E352" s="379">
        <v>15.15708904109589</v>
      </c>
      <c r="F352" s="429">
        <v>15.115676229508196</v>
      </c>
      <c r="W352" s="378"/>
    </row>
    <row r="353" spans="1:23" outlineLevel="1" x14ac:dyDescent="0.25">
      <c r="A353" s="426"/>
      <c r="B353" s="185" t="s">
        <v>204</v>
      </c>
      <c r="C353" s="183" t="s">
        <v>462</v>
      </c>
      <c r="D353" s="34"/>
      <c r="E353" s="379">
        <v>14.668150684931508</v>
      </c>
      <c r="F353" s="429">
        <v>14.628073770491802</v>
      </c>
      <c r="W353" s="378"/>
    </row>
    <row r="354" spans="1:23" outlineLevel="1" x14ac:dyDescent="0.25">
      <c r="A354" s="426"/>
      <c r="B354" s="185" t="s">
        <v>205</v>
      </c>
      <c r="C354" s="183" t="s">
        <v>462</v>
      </c>
      <c r="D354" s="34"/>
      <c r="E354" s="379">
        <v>15.15708904109589</v>
      </c>
      <c r="F354" s="429">
        <v>15.115676229508196</v>
      </c>
      <c r="W354" s="378"/>
    </row>
    <row r="355" spans="1:23" outlineLevel="1" x14ac:dyDescent="0.25">
      <c r="A355" s="426"/>
      <c r="B355" s="185" t="s">
        <v>206</v>
      </c>
      <c r="C355" s="183" t="s">
        <v>462</v>
      </c>
      <c r="D355" s="34"/>
      <c r="E355" s="379">
        <v>14.668150684931508</v>
      </c>
      <c r="F355" s="429">
        <v>14.628073770491802</v>
      </c>
      <c r="W355" s="378"/>
    </row>
    <row r="356" spans="1:23" outlineLevel="1" x14ac:dyDescent="0.25">
      <c r="A356" s="426"/>
      <c r="B356" s="185" t="s">
        <v>207</v>
      </c>
      <c r="C356" s="183" t="s">
        <v>462</v>
      </c>
      <c r="D356" s="34"/>
      <c r="E356" s="379">
        <v>15.15708904109589</v>
      </c>
      <c r="F356" s="429">
        <v>15.115676229508196</v>
      </c>
      <c r="W356" s="378"/>
    </row>
    <row r="357" spans="1:23" outlineLevel="1" x14ac:dyDescent="0.25">
      <c r="A357" s="426"/>
      <c r="B357" s="179" t="s">
        <v>466</v>
      </c>
      <c r="C357" s="183"/>
      <c r="D357" s="34"/>
      <c r="E357" s="183"/>
      <c r="F357" s="428"/>
      <c r="W357" s="378"/>
    </row>
    <row r="358" spans="1:23" outlineLevel="1" x14ac:dyDescent="0.25">
      <c r="A358" s="426"/>
      <c r="B358" s="185" t="s">
        <v>196</v>
      </c>
      <c r="C358" s="183" t="s">
        <v>463</v>
      </c>
      <c r="D358" s="34"/>
      <c r="E358" s="379" cm="1">
        <f t="array" ref="E358:E369">+TRANSPOSE('Annex 2. Ms, SFs, Short term '!T41:AE41)</f>
        <v>0.58672602739726043</v>
      </c>
      <c r="F358" s="429" cm="1">
        <f t="array" ref="F358:F369">+TRANSPOSE('Annex 2. Ms, SFs, Short term '!T58:AE58)</f>
        <v>0.58512295081967225</v>
      </c>
      <c r="W358" s="378"/>
    </row>
    <row r="359" spans="1:23" outlineLevel="1" x14ac:dyDescent="0.25">
      <c r="A359" s="426"/>
      <c r="B359" s="185" t="s">
        <v>197</v>
      </c>
      <c r="C359" s="183" t="s">
        <v>463</v>
      </c>
      <c r="D359" s="34"/>
      <c r="E359" s="379">
        <v>0.58672602739726043</v>
      </c>
      <c r="F359" s="429">
        <v>0.58512295081967225</v>
      </c>
      <c r="W359" s="378"/>
    </row>
    <row r="360" spans="1:23" outlineLevel="1" x14ac:dyDescent="0.25">
      <c r="A360" s="426"/>
      <c r="B360" s="185" t="s">
        <v>198</v>
      </c>
      <c r="C360" s="183" t="s">
        <v>463</v>
      </c>
      <c r="D360" s="34"/>
      <c r="E360" s="379">
        <v>0.58672602739726043</v>
      </c>
      <c r="F360" s="429">
        <v>0.58512295081967225</v>
      </c>
      <c r="W360" s="378"/>
    </row>
    <row r="361" spans="1:23" outlineLevel="1" x14ac:dyDescent="0.25">
      <c r="A361" s="426"/>
      <c r="B361" s="185" t="s">
        <v>199</v>
      </c>
      <c r="C361" s="183" t="s">
        <v>463</v>
      </c>
      <c r="D361" s="34"/>
      <c r="E361" s="379">
        <v>0.58672602739726043</v>
      </c>
      <c r="F361" s="429">
        <v>0.58512295081967225</v>
      </c>
      <c r="W361" s="378"/>
    </row>
    <row r="362" spans="1:23" outlineLevel="1" x14ac:dyDescent="0.25">
      <c r="A362" s="426"/>
      <c r="B362" s="185" t="s">
        <v>200</v>
      </c>
      <c r="C362" s="183" t="s">
        <v>463</v>
      </c>
      <c r="D362" s="34"/>
      <c r="E362" s="379">
        <v>0.58672602739726043</v>
      </c>
      <c r="F362" s="429">
        <v>0.58512295081967225</v>
      </c>
      <c r="W362" s="378"/>
    </row>
    <row r="363" spans="1:23" outlineLevel="1" x14ac:dyDescent="0.25">
      <c r="A363" s="426"/>
      <c r="B363" s="185" t="s">
        <v>201</v>
      </c>
      <c r="C363" s="183" t="s">
        <v>463</v>
      </c>
      <c r="D363" s="34"/>
      <c r="E363" s="379">
        <v>0.58672602739726043</v>
      </c>
      <c r="F363" s="429">
        <v>0.58512295081967225</v>
      </c>
      <c r="W363" s="378"/>
    </row>
    <row r="364" spans="1:23" outlineLevel="1" x14ac:dyDescent="0.25">
      <c r="A364" s="426"/>
      <c r="B364" s="185" t="s">
        <v>202</v>
      </c>
      <c r="C364" s="183" t="s">
        <v>463</v>
      </c>
      <c r="D364" s="34"/>
      <c r="E364" s="379">
        <v>0.58672602739726043</v>
      </c>
      <c r="F364" s="429">
        <v>0.58512295081967225</v>
      </c>
      <c r="W364" s="378"/>
    </row>
    <row r="365" spans="1:23" outlineLevel="1" x14ac:dyDescent="0.25">
      <c r="A365" s="426"/>
      <c r="B365" s="185" t="s">
        <v>203</v>
      </c>
      <c r="C365" s="183" t="s">
        <v>463</v>
      </c>
      <c r="D365" s="34"/>
      <c r="E365" s="379">
        <v>0.58672602739726043</v>
      </c>
      <c r="F365" s="429">
        <v>0.58512295081967225</v>
      </c>
      <c r="W365" s="378"/>
    </row>
    <row r="366" spans="1:23" outlineLevel="1" x14ac:dyDescent="0.25">
      <c r="A366" s="426"/>
      <c r="B366" s="185" t="s">
        <v>204</v>
      </c>
      <c r="C366" s="183" t="s">
        <v>463</v>
      </c>
      <c r="D366" s="34"/>
      <c r="E366" s="379">
        <v>0.58672602739726043</v>
      </c>
      <c r="F366" s="429">
        <v>0.58512295081967225</v>
      </c>
      <c r="W366" s="378"/>
    </row>
    <row r="367" spans="1:23" outlineLevel="1" x14ac:dyDescent="0.25">
      <c r="A367" s="426"/>
      <c r="B367" s="185" t="s">
        <v>205</v>
      </c>
      <c r="C367" s="183" t="s">
        <v>463</v>
      </c>
      <c r="D367" s="34"/>
      <c r="E367" s="379">
        <v>0.58672602739726043</v>
      </c>
      <c r="F367" s="429">
        <v>0.58512295081967225</v>
      </c>
      <c r="W367" s="378"/>
    </row>
    <row r="368" spans="1:23" outlineLevel="1" x14ac:dyDescent="0.25">
      <c r="A368" s="426"/>
      <c r="B368" s="185" t="s">
        <v>206</v>
      </c>
      <c r="C368" s="183" t="s">
        <v>463</v>
      </c>
      <c r="D368" s="34"/>
      <c r="E368" s="379">
        <v>0.58672602739726043</v>
      </c>
      <c r="F368" s="429">
        <v>0.58512295081967225</v>
      </c>
      <c r="W368" s="378"/>
    </row>
    <row r="369" spans="1:23" outlineLevel="1" x14ac:dyDescent="0.25">
      <c r="A369" s="426"/>
      <c r="B369" s="185" t="s">
        <v>207</v>
      </c>
      <c r="C369" s="183" t="s">
        <v>463</v>
      </c>
      <c r="D369" s="34"/>
      <c r="E369" s="379">
        <v>0.58672602739726043</v>
      </c>
      <c r="F369" s="429">
        <v>0.58512295081967225</v>
      </c>
      <c r="W369" s="378"/>
    </row>
    <row r="370" spans="1:23" outlineLevel="1" x14ac:dyDescent="0.25">
      <c r="A370" s="426"/>
      <c r="B370" s="179" t="s">
        <v>467</v>
      </c>
      <c r="C370" s="183"/>
      <c r="D370" s="34"/>
      <c r="E370" s="183"/>
      <c r="F370" s="428"/>
      <c r="W370" s="378"/>
    </row>
    <row r="371" spans="1:23" outlineLevel="1" x14ac:dyDescent="0.25">
      <c r="A371" s="426"/>
      <c r="B371" s="185" t="s">
        <v>196</v>
      </c>
      <c r="C371" s="183" t="s">
        <v>463</v>
      </c>
      <c r="D371" s="34"/>
      <c r="E371" s="379" cm="1">
        <f t="array" ref="E371:E382">+TRANSPOSE('Annex 2. Ms, SFs, Short term '!AF41:AQ41)</f>
        <v>0.58672602739726043</v>
      </c>
      <c r="F371" s="429" cm="1">
        <f t="array" ref="F371:F382">+TRANSPOSE('Annex 2. Ms, SFs, Short term '!AF58:AQ58)</f>
        <v>0.66313934426229515</v>
      </c>
      <c r="W371" s="378"/>
    </row>
    <row r="372" spans="1:23" outlineLevel="1" x14ac:dyDescent="0.25">
      <c r="A372" s="426"/>
      <c r="B372" s="185" t="s">
        <v>197</v>
      </c>
      <c r="C372" s="183" t="s">
        <v>463</v>
      </c>
      <c r="D372" s="34"/>
      <c r="E372" s="379">
        <v>0.58672602739726043</v>
      </c>
      <c r="F372" s="429">
        <v>0.66313934426229515</v>
      </c>
      <c r="W372" s="378"/>
    </row>
    <row r="373" spans="1:23" outlineLevel="1" x14ac:dyDescent="0.25">
      <c r="A373" s="426"/>
      <c r="B373" s="185" t="s">
        <v>198</v>
      </c>
      <c r="C373" s="183" t="s">
        <v>463</v>
      </c>
      <c r="D373" s="34"/>
      <c r="E373" s="379">
        <v>0.58672602739726043</v>
      </c>
      <c r="F373" s="429">
        <v>0.66313934426229515</v>
      </c>
      <c r="W373" s="378"/>
    </row>
    <row r="374" spans="1:23" outlineLevel="1" x14ac:dyDescent="0.25">
      <c r="A374" s="426"/>
      <c r="B374" s="185" t="s">
        <v>199</v>
      </c>
      <c r="C374" s="183" t="s">
        <v>463</v>
      </c>
      <c r="D374" s="34"/>
      <c r="E374" s="379">
        <v>0.58672602739726043</v>
      </c>
      <c r="F374" s="429">
        <v>0.66313934426229515</v>
      </c>
      <c r="W374" s="378"/>
    </row>
    <row r="375" spans="1:23" outlineLevel="1" x14ac:dyDescent="0.25">
      <c r="A375" s="426"/>
      <c r="B375" s="185" t="s">
        <v>200</v>
      </c>
      <c r="C375" s="183" t="s">
        <v>463</v>
      </c>
      <c r="D375" s="34"/>
      <c r="E375" s="379">
        <v>0.58672602739726043</v>
      </c>
      <c r="F375" s="429">
        <v>0.66313934426229515</v>
      </c>
      <c r="W375" s="378"/>
    </row>
    <row r="376" spans="1:23" outlineLevel="1" x14ac:dyDescent="0.25">
      <c r="A376" s="426"/>
      <c r="B376" s="185" t="s">
        <v>201</v>
      </c>
      <c r="C376" s="183" t="s">
        <v>463</v>
      </c>
      <c r="D376" s="34"/>
      <c r="E376" s="379">
        <v>0.58672602739726043</v>
      </c>
      <c r="F376" s="429">
        <v>0.66313934426229515</v>
      </c>
      <c r="W376" s="378"/>
    </row>
    <row r="377" spans="1:23" outlineLevel="1" x14ac:dyDescent="0.25">
      <c r="A377" s="426"/>
      <c r="B377" s="185" t="s">
        <v>202</v>
      </c>
      <c r="C377" s="183" t="s">
        <v>463</v>
      </c>
      <c r="D377" s="34"/>
      <c r="E377" s="379">
        <v>0.58672602739726043</v>
      </c>
      <c r="F377" s="429">
        <v>0.66313934426229515</v>
      </c>
      <c r="W377" s="378"/>
    </row>
    <row r="378" spans="1:23" outlineLevel="1" x14ac:dyDescent="0.25">
      <c r="A378" s="426"/>
      <c r="B378" s="185" t="s">
        <v>203</v>
      </c>
      <c r="C378" s="183" t="s">
        <v>463</v>
      </c>
      <c r="D378" s="34"/>
      <c r="E378" s="379">
        <v>0.58672602739726043</v>
      </c>
      <c r="F378" s="429">
        <v>0.66313934426229515</v>
      </c>
      <c r="W378" s="378"/>
    </row>
    <row r="379" spans="1:23" outlineLevel="1" x14ac:dyDescent="0.25">
      <c r="A379" s="426"/>
      <c r="B379" s="185" t="s">
        <v>204</v>
      </c>
      <c r="C379" s="183" t="s">
        <v>463</v>
      </c>
      <c r="D379" s="34"/>
      <c r="E379" s="379">
        <v>0.58672602739726043</v>
      </c>
      <c r="F379" s="429">
        <v>0.66313934426229515</v>
      </c>
      <c r="W379" s="378"/>
    </row>
    <row r="380" spans="1:23" outlineLevel="1" x14ac:dyDescent="0.25">
      <c r="A380" s="426"/>
      <c r="B380" s="185" t="s">
        <v>205</v>
      </c>
      <c r="C380" s="183" t="s">
        <v>463</v>
      </c>
      <c r="D380" s="34"/>
      <c r="E380" s="379">
        <v>0.58672602739726043</v>
      </c>
      <c r="F380" s="429">
        <v>0.66313934426229515</v>
      </c>
      <c r="W380" s="378"/>
    </row>
    <row r="381" spans="1:23" outlineLevel="1" x14ac:dyDescent="0.25">
      <c r="A381" s="426"/>
      <c r="B381" s="185" t="s">
        <v>206</v>
      </c>
      <c r="C381" s="183" t="s">
        <v>463</v>
      </c>
      <c r="D381" s="34"/>
      <c r="E381" s="379">
        <v>0.58672602739726043</v>
      </c>
      <c r="F381" s="429">
        <v>0.66313934426229515</v>
      </c>
      <c r="W381" s="378"/>
    </row>
    <row r="382" spans="1:23" outlineLevel="1" x14ac:dyDescent="0.25">
      <c r="A382" s="426"/>
      <c r="B382" s="185" t="s">
        <v>207</v>
      </c>
      <c r="C382" s="183" t="s">
        <v>463</v>
      </c>
      <c r="D382" s="34"/>
      <c r="E382" s="379">
        <v>0.58672602739726043</v>
      </c>
      <c r="F382" s="429">
        <v>0.66313934426229515</v>
      </c>
      <c r="W382" s="378"/>
    </row>
    <row r="383" spans="1:23" outlineLevel="1" x14ac:dyDescent="0.25">
      <c r="A383" s="426"/>
      <c r="B383" s="322" t="s">
        <v>6</v>
      </c>
      <c r="C383" s="322"/>
      <c r="D383" s="28"/>
      <c r="E383" s="322"/>
      <c r="F383" s="427"/>
    </row>
    <row r="384" spans="1:23" outlineLevel="1" x14ac:dyDescent="0.25">
      <c r="A384" s="426"/>
      <c r="B384" s="179" t="s">
        <v>464</v>
      </c>
      <c r="C384" s="183"/>
      <c r="D384" s="28"/>
      <c r="E384" s="183"/>
      <c r="F384" s="428"/>
    </row>
    <row r="385" spans="1:6" outlineLevel="1" x14ac:dyDescent="0.25">
      <c r="A385" s="426"/>
      <c r="B385" s="185" t="s">
        <v>448</v>
      </c>
      <c r="C385" s="183" t="s">
        <v>461</v>
      </c>
      <c r="D385" s="34"/>
      <c r="E385" s="379" cm="1">
        <f t="array" ref="E385:E388">+TRANSPOSE('Annex 2. Ms, SFs, Short term '!D43:G43)</f>
        <v>38.723917808219191</v>
      </c>
      <c r="F385" s="429" cm="1">
        <f t="array" ref="F385:F388">+TRANSPOSE('Annex 2. Ms, SFs, Short term '!D60:G60)</f>
        <v>39.04720491803279</v>
      </c>
    </row>
    <row r="386" spans="1:6" outlineLevel="1" x14ac:dyDescent="0.25">
      <c r="A386" s="426"/>
      <c r="B386" s="185" t="s">
        <v>449</v>
      </c>
      <c r="C386" s="183" t="s">
        <v>461</v>
      </c>
      <c r="D386" s="34"/>
      <c r="E386" s="379">
        <v>39.154183561643841</v>
      </c>
      <c r="F386" s="429">
        <v>39.04720491803279</v>
      </c>
    </row>
    <row r="387" spans="1:6" outlineLevel="1" x14ac:dyDescent="0.25">
      <c r="A387" s="426"/>
      <c r="B387" s="185" t="s">
        <v>450</v>
      </c>
      <c r="C387" s="183" t="s">
        <v>461</v>
      </c>
      <c r="D387" s="34"/>
      <c r="E387" s="379">
        <v>39.584449315068504</v>
      </c>
      <c r="F387" s="429">
        <v>39.476295081967223</v>
      </c>
    </row>
    <row r="388" spans="1:6" outlineLevel="1" x14ac:dyDescent="0.25">
      <c r="A388" s="426"/>
      <c r="B388" s="185" t="s">
        <v>451</v>
      </c>
      <c r="C388" s="183" t="s">
        <v>461</v>
      </c>
      <c r="D388" s="34"/>
      <c r="E388" s="379">
        <v>39.584449315068504</v>
      </c>
      <c r="F388" s="429">
        <v>39.476295081967223</v>
      </c>
    </row>
    <row r="389" spans="1:6" outlineLevel="1" x14ac:dyDescent="0.25">
      <c r="A389" s="426"/>
      <c r="B389" s="179" t="s">
        <v>465</v>
      </c>
      <c r="C389" s="183"/>
      <c r="D389" s="34"/>
      <c r="E389" s="183"/>
      <c r="F389" s="428"/>
    </row>
    <row r="390" spans="1:6" outlineLevel="1" x14ac:dyDescent="0.25">
      <c r="A390" s="426"/>
      <c r="B390" s="185" t="s">
        <v>196</v>
      </c>
      <c r="C390" s="183" t="s">
        <v>462</v>
      </c>
      <c r="D390" s="34"/>
      <c r="E390" s="379" cm="1">
        <f t="array" ref="E390:E401">+TRANSPOSE('Annex 2. Ms, SFs, Short term '!H43:S43)</f>
        <v>15.15708904109589</v>
      </c>
      <c r="F390" s="429" cm="1">
        <f t="array" ref="F390:F401">+TRANSPOSE('Annex 2. Ms, SFs, Short term '!H60:S60)</f>
        <v>15.115676229508196</v>
      </c>
    </row>
    <row r="391" spans="1:6" outlineLevel="1" x14ac:dyDescent="0.25">
      <c r="A391" s="426"/>
      <c r="B391" s="185" t="s">
        <v>197</v>
      </c>
      <c r="C391" s="183" t="s">
        <v>462</v>
      </c>
      <c r="D391" s="34"/>
      <c r="E391" s="379">
        <v>13.690273972602743</v>
      </c>
      <c r="F391" s="429">
        <v>14.140471311475411</v>
      </c>
    </row>
    <row r="392" spans="1:6" outlineLevel="1" x14ac:dyDescent="0.25">
      <c r="A392" s="426"/>
      <c r="B392" s="185" t="s">
        <v>198</v>
      </c>
      <c r="C392" s="183" t="s">
        <v>462</v>
      </c>
      <c r="D392" s="34"/>
      <c r="E392" s="379">
        <v>15.15708904109589</v>
      </c>
      <c r="F392" s="429">
        <v>15.115676229508196</v>
      </c>
    </row>
    <row r="393" spans="1:6" outlineLevel="1" x14ac:dyDescent="0.25">
      <c r="A393" s="426"/>
      <c r="B393" s="185" t="s">
        <v>199</v>
      </c>
      <c r="C393" s="183" t="s">
        <v>462</v>
      </c>
      <c r="D393" s="34"/>
      <c r="E393" s="379">
        <v>14.668150684931508</v>
      </c>
      <c r="F393" s="429">
        <v>14.628073770491802</v>
      </c>
    </row>
    <row r="394" spans="1:6" outlineLevel="1" x14ac:dyDescent="0.25">
      <c r="A394" s="426"/>
      <c r="B394" s="185" t="s">
        <v>200</v>
      </c>
      <c r="C394" s="183" t="s">
        <v>462</v>
      </c>
      <c r="D394" s="34"/>
      <c r="E394" s="379">
        <v>15.15708904109589</v>
      </c>
      <c r="F394" s="429">
        <v>15.115676229508196</v>
      </c>
    </row>
    <row r="395" spans="1:6" outlineLevel="1" x14ac:dyDescent="0.25">
      <c r="A395" s="426"/>
      <c r="B395" s="185" t="s">
        <v>201</v>
      </c>
      <c r="C395" s="183" t="s">
        <v>462</v>
      </c>
      <c r="D395" s="34"/>
      <c r="E395" s="379">
        <v>14.668150684931508</v>
      </c>
      <c r="F395" s="429">
        <v>14.628073770491802</v>
      </c>
    </row>
    <row r="396" spans="1:6" outlineLevel="1" x14ac:dyDescent="0.25">
      <c r="A396" s="426"/>
      <c r="B396" s="185" t="s">
        <v>202</v>
      </c>
      <c r="C396" s="183" t="s">
        <v>462</v>
      </c>
      <c r="D396" s="34"/>
      <c r="E396" s="379">
        <v>15.15708904109589</v>
      </c>
      <c r="F396" s="429">
        <v>15.115676229508196</v>
      </c>
    </row>
    <row r="397" spans="1:6" outlineLevel="1" x14ac:dyDescent="0.25">
      <c r="A397" s="426"/>
      <c r="B397" s="185" t="s">
        <v>203</v>
      </c>
      <c r="C397" s="183" t="s">
        <v>462</v>
      </c>
      <c r="D397" s="34"/>
      <c r="E397" s="379">
        <v>15.15708904109589</v>
      </c>
      <c r="F397" s="429">
        <v>15.115676229508196</v>
      </c>
    </row>
    <row r="398" spans="1:6" outlineLevel="1" x14ac:dyDescent="0.25">
      <c r="A398" s="426"/>
      <c r="B398" s="185" t="s">
        <v>204</v>
      </c>
      <c r="C398" s="183" t="s">
        <v>462</v>
      </c>
      <c r="D398" s="34"/>
      <c r="E398" s="379">
        <v>14.668150684931508</v>
      </c>
      <c r="F398" s="429">
        <v>14.628073770491802</v>
      </c>
    </row>
    <row r="399" spans="1:6" outlineLevel="1" x14ac:dyDescent="0.25">
      <c r="A399" s="426"/>
      <c r="B399" s="185" t="s">
        <v>205</v>
      </c>
      <c r="C399" s="183" t="s">
        <v>462</v>
      </c>
      <c r="D399" s="34"/>
      <c r="E399" s="379">
        <v>15.15708904109589</v>
      </c>
      <c r="F399" s="429">
        <v>15.115676229508196</v>
      </c>
    </row>
    <row r="400" spans="1:6" outlineLevel="1" x14ac:dyDescent="0.25">
      <c r="A400" s="426"/>
      <c r="B400" s="185" t="s">
        <v>206</v>
      </c>
      <c r="C400" s="183" t="s">
        <v>462</v>
      </c>
      <c r="D400" s="34"/>
      <c r="E400" s="379">
        <v>14.668150684931508</v>
      </c>
      <c r="F400" s="429">
        <v>14.628073770491802</v>
      </c>
    </row>
    <row r="401" spans="1:6" outlineLevel="1" x14ac:dyDescent="0.25">
      <c r="A401" s="426"/>
      <c r="B401" s="185" t="s">
        <v>207</v>
      </c>
      <c r="C401" s="183" t="s">
        <v>462</v>
      </c>
      <c r="D401" s="34"/>
      <c r="E401" s="379">
        <v>15.15708904109589</v>
      </c>
      <c r="F401" s="429">
        <v>15.115676229508196</v>
      </c>
    </row>
    <row r="402" spans="1:6" outlineLevel="1" x14ac:dyDescent="0.25">
      <c r="A402" s="426"/>
      <c r="B402" s="179" t="s">
        <v>466</v>
      </c>
      <c r="C402" s="183"/>
      <c r="D402" s="34"/>
      <c r="E402" s="183"/>
      <c r="F402" s="428"/>
    </row>
    <row r="403" spans="1:6" outlineLevel="1" x14ac:dyDescent="0.25">
      <c r="A403" s="426"/>
      <c r="B403" s="185" t="s">
        <v>196</v>
      </c>
      <c r="C403" s="183" t="s">
        <v>463</v>
      </c>
      <c r="D403" s="34"/>
      <c r="E403" s="379" cm="1">
        <f t="array" ref="E403:E414">+TRANSPOSE('Annex 2. Ms, SFs, Short term '!T43:AE43)</f>
        <v>0.58672602739726043</v>
      </c>
      <c r="F403" s="429" cm="1">
        <f t="array" ref="F403:F414">+TRANSPOSE('Annex 2. Ms, SFs, Short term '!T60:AE60)</f>
        <v>0.58512295081967225</v>
      </c>
    </row>
    <row r="404" spans="1:6" outlineLevel="1" x14ac:dyDescent="0.25">
      <c r="A404" s="426"/>
      <c r="B404" s="185" t="s">
        <v>197</v>
      </c>
      <c r="C404" s="183" t="s">
        <v>463</v>
      </c>
      <c r="D404" s="34"/>
      <c r="E404" s="379">
        <v>0.58672602739726043</v>
      </c>
      <c r="F404" s="429">
        <v>0.58512295081967225</v>
      </c>
    </row>
    <row r="405" spans="1:6" outlineLevel="1" x14ac:dyDescent="0.25">
      <c r="A405" s="426"/>
      <c r="B405" s="185" t="s">
        <v>198</v>
      </c>
      <c r="C405" s="183" t="s">
        <v>463</v>
      </c>
      <c r="D405" s="34"/>
      <c r="E405" s="379">
        <v>0.58672602739726043</v>
      </c>
      <c r="F405" s="429">
        <v>0.58512295081967225</v>
      </c>
    </row>
    <row r="406" spans="1:6" outlineLevel="1" x14ac:dyDescent="0.25">
      <c r="A406" s="426"/>
      <c r="B406" s="185" t="s">
        <v>199</v>
      </c>
      <c r="C406" s="183" t="s">
        <v>463</v>
      </c>
      <c r="D406" s="34"/>
      <c r="E406" s="379">
        <v>0.58672602739726043</v>
      </c>
      <c r="F406" s="429">
        <v>0.58512295081967225</v>
      </c>
    </row>
    <row r="407" spans="1:6" outlineLevel="1" x14ac:dyDescent="0.25">
      <c r="A407" s="426"/>
      <c r="B407" s="185" t="s">
        <v>200</v>
      </c>
      <c r="C407" s="183" t="s">
        <v>463</v>
      </c>
      <c r="D407" s="34"/>
      <c r="E407" s="379">
        <v>0.58672602739726043</v>
      </c>
      <c r="F407" s="429">
        <v>0.58512295081967225</v>
      </c>
    </row>
    <row r="408" spans="1:6" outlineLevel="1" x14ac:dyDescent="0.25">
      <c r="A408" s="426"/>
      <c r="B408" s="185" t="s">
        <v>201</v>
      </c>
      <c r="C408" s="183" t="s">
        <v>463</v>
      </c>
      <c r="D408" s="34"/>
      <c r="E408" s="379">
        <v>0.58672602739726043</v>
      </c>
      <c r="F408" s="429">
        <v>0.58512295081967225</v>
      </c>
    </row>
    <row r="409" spans="1:6" outlineLevel="1" x14ac:dyDescent="0.25">
      <c r="A409" s="426"/>
      <c r="B409" s="185" t="s">
        <v>202</v>
      </c>
      <c r="C409" s="183" t="s">
        <v>463</v>
      </c>
      <c r="D409" s="34"/>
      <c r="E409" s="379">
        <v>0.58672602739726043</v>
      </c>
      <c r="F409" s="429">
        <v>0.58512295081967225</v>
      </c>
    </row>
    <row r="410" spans="1:6" outlineLevel="1" x14ac:dyDescent="0.25">
      <c r="A410" s="426"/>
      <c r="B410" s="185" t="s">
        <v>203</v>
      </c>
      <c r="C410" s="183" t="s">
        <v>463</v>
      </c>
      <c r="D410" s="34"/>
      <c r="E410" s="379">
        <v>0.58672602739726043</v>
      </c>
      <c r="F410" s="429">
        <v>0.58512295081967225</v>
      </c>
    </row>
    <row r="411" spans="1:6" outlineLevel="1" x14ac:dyDescent="0.25">
      <c r="A411" s="426"/>
      <c r="B411" s="185" t="s">
        <v>204</v>
      </c>
      <c r="C411" s="183" t="s">
        <v>463</v>
      </c>
      <c r="D411" s="34"/>
      <c r="E411" s="379">
        <v>0.58672602739726043</v>
      </c>
      <c r="F411" s="429">
        <v>0.58512295081967225</v>
      </c>
    </row>
    <row r="412" spans="1:6" outlineLevel="1" x14ac:dyDescent="0.25">
      <c r="A412" s="426"/>
      <c r="B412" s="185" t="s">
        <v>205</v>
      </c>
      <c r="C412" s="183" t="s">
        <v>463</v>
      </c>
      <c r="D412" s="34"/>
      <c r="E412" s="379">
        <v>0.58672602739726043</v>
      </c>
      <c r="F412" s="429">
        <v>0.58512295081967225</v>
      </c>
    </row>
    <row r="413" spans="1:6" outlineLevel="1" x14ac:dyDescent="0.25">
      <c r="A413" s="426"/>
      <c r="B413" s="185" t="s">
        <v>206</v>
      </c>
      <c r="C413" s="183" t="s">
        <v>463</v>
      </c>
      <c r="D413" s="34"/>
      <c r="E413" s="379">
        <v>0.58672602739726043</v>
      </c>
      <c r="F413" s="429">
        <v>0.58512295081967225</v>
      </c>
    </row>
    <row r="414" spans="1:6" outlineLevel="1" x14ac:dyDescent="0.25">
      <c r="A414" s="426"/>
      <c r="B414" s="185" t="s">
        <v>207</v>
      </c>
      <c r="C414" s="183" t="s">
        <v>463</v>
      </c>
      <c r="D414" s="34"/>
      <c r="E414" s="379">
        <v>0.58672602739726043</v>
      </c>
      <c r="F414" s="429">
        <v>0.58512295081967225</v>
      </c>
    </row>
    <row r="415" spans="1:6" outlineLevel="1" x14ac:dyDescent="0.25">
      <c r="A415" s="426"/>
      <c r="B415" s="179" t="s">
        <v>467</v>
      </c>
      <c r="C415" s="183"/>
      <c r="D415" s="34"/>
      <c r="E415" s="183"/>
      <c r="F415" s="428"/>
    </row>
    <row r="416" spans="1:6" outlineLevel="1" x14ac:dyDescent="0.25">
      <c r="A416" s="426"/>
      <c r="B416" s="185" t="s">
        <v>196</v>
      </c>
      <c r="C416" s="183" t="s">
        <v>463</v>
      </c>
      <c r="D416" s="28"/>
      <c r="E416" s="379" cm="1">
        <f t="array" ref="E416:E427">+TRANSPOSE('Annex 2. Ms, SFs, Short term '!AF43:AQ43)</f>
        <v>0.58672602739726043</v>
      </c>
      <c r="F416" s="429" cm="1">
        <f t="array" ref="F416:F427">+TRANSPOSE('Annex 2. Ms, SFs, Short term '!AF60:AQ60)</f>
        <v>0.66313934426229515</v>
      </c>
    </row>
    <row r="417" spans="1:6" outlineLevel="1" x14ac:dyDescent="0.25">
      <c r="A417" s="426"/>
      <c r="B417" s="185" t="s">
        <v>197</v>
      </c>
      <c r="C417" s="183" t="s">
        <v>463</v>
      </c>
      <c r="D417" s="28"/>
      <c r="E417" s="379">
        <v>0.58672602739726043</v>
      </c>
      <c r="F417" s="429">
        <v>0.66313934426229515</v>
      </c>
    </row>
    <row r="418" spans="1:6" outlineLevel="1" x14ac:dyDescent="0.25">
      <c r="A418" s="426"/>
      <c r="B418" s="185" t="s">
        <v>198</v>
      </c>
      <c r="C418" s="183" t="s">
        <v>463</v>
      </c>
      <c r="D418" s="34"/>
      <c r="E418" s="379">
        <v>0.58672602739726043</v>
      </c>
      <c r="F418" s="429">
        <v>0.66313934426229515</v>
      </c>
    </row>
    <row r="419" spans="1:6" outlineLevel="1" x14ac:dyDescent="0.25">
      <c r="A419" s="426"/>
      <c r="B419" s="185" t="s">
        <v>199</v>
      </c>
      <c r="C419" s="183" t="s">
        <v>463</v>
      </c>
      <c r="D419" s="34"/>
      <c r="E419" s="379">
        <v>0.58672602739726043</v>
      </c>
      <c r="F419" s="429">
        <v>0.66313934426229515</v>
      </c>
    </row>
    <row r="420" spans="1:6" outlineLevel="1" x14ac:dyDescent="0.25">
      <c r="A420" s="426"/>
      <c r="B420" s="185" t="s">
        <v>200</v>
      </c>
      <c r="C420" s="183" t="s">
        <v>463</v>
      </c>
      <c r="D420" s="34"/>
      <c r="E420" s="379">
        <v>0.58672602739726043</v>
      </c>
      <c r="F420" s="429">
        <v>0.66313934426229515</v>
      </c>
    </row>
    <row r="421" spans="1:6" outlineLevel="1" x14ac:dyDescent="0.25">
      <c r="A421" s="426"/>
      <c r="B421" s="185" t="s">
        <v>201</v>
      </c>
      <c r="C421" s="183" t="s">
        <v>463</v>
      </c>
      <c r="D421" s="34"/>
      <c r="E421" s="379">
        <v>0.58672602739726043</v>
      </c>
      <c r="F421" s="429">
        <v>0.66313934426229515</v>
      </c>
    </row>
    <row r="422" spans="1:6" outlineLevel="1" x14ac:dyDescent="0.25">
      <c r="A422" s="426"/>
      <c r="B422" s="185" t="s">
        <v>202</v>
      </c>
      <c r="C422" s="183" t="s">
        <v>463</v>
      </c>
      <c r="D422" s="34"/>
      <c r="E422" s="379">
        <v>0.58672602739726043</v>
      </c>
      <c r="F422" s="429">
        <v>0.66313934426229515</v>
      </c>
    </row>
    <row r="423" spans="1:6" outlineLevel="1" x14ac:dyDescent="0.25">
      <c r="A423" s="426"/>
      <c r="B423" s="185" t="s">
        <v>203</v>
      </c>
      <c r="C423" s="183" t="s">
        <v>463</v>
      </c>
      <c r="D423" s="34"/>
      <c r="E423" s="379">
        <v>0.58672602739726043</v>
      </c>
      <c r="F423" s="429">
        <v>0.66313934426229515</v>
      </c>
    </row>
    <row r="424" spans="1:6" outlineLevel="1" x14ac:dyDescent="0.25">
      <c r="A424" s="426"/>
      <c r="B424" s="185" t="s">
        <v>204</v>
      </c>
      <c r="C424" s="183" t="s">
        <v>463</v>
      </c>
      <c r="D424" s="34"/>
      <c r="E424" s="379">
        <v>0.58672602739726043</v>
      </c>
      <c r="F424" s="429">
        <v>0.66313934426229515</v>
      </c>
    </row>
    <row r="425" spans="1:6" outlineLevel="1" x14ac:dyDescent="0.25">
      <c r="A425" s="426"/>
      <c r="B425" s="185" t="s">
        <v>205</v>
      </c>
      <c r="C425" s="183" t="s">
        <v>463</v>
      </c>
      <c r="D425" s="34"/>
      <c r="E425" s="379">
        <v>0.58672602739726043</v>
      </c>
      <c r="F425" s="429">
        <v>0.66313934426229515</v>
      </c>
    </row>
    <row r="426" spans="1:6" outlineLevel="1" x14ac:dyDescent="0.25">
      <c r="A426" s="426"/>
      <c r="B426" s="185" t="s">
        <v>206</v>
      </c>
      <c r="C426" s="183" t="s">
        <v>463</v>
      </c>
      <c r="D426" s="34"/>
      <c r="E426" s="379">
        <v>0.58672602739726043</v>
      </c>
      <c r="F426" s="429">
        <v>0.66313934426229515</v>
      </c>
    </row>
    <row r="427" spans="1:6" outlineLevel="1" x14ac:dyDescent="0.25">
      <c r="A427" s="426"/>
      <c r="B427" s="185" t="s">
        <v>207</v>
      </c>
      <c r="C427" s="183" t="s">
        <v>463</v>
      </c>
      <c r="D427" s="34"/>
      <c r="E427" s="379">
        <v>0.58672602739726043</v>
      </c>
      <c r="F427" s="429">
        <v>0.66313934426229515</v>
      </c>
    </row>
    <row r="428" spans="1:6" outlineLevel="1" x14ac:dyDescent="0.25">
      <c r="A428" s="426"/>
      <c r="B428" s="322" t="s">
        <v>307</v>
      </c>
      <c r="C428" s="322"/>
      <c r="D428" s="28"/>
      <c r="E428" s="322"/>
      <c r="F428" s="427"/>
    </row>
    <row r="429" spans="1:6" outlineLevel="1" x14ac:dyDescent="0.25">
      <c r="A429" s="426"/>
      <c r="B429" s="179" t="s">
        <v>464</v>
      </c>
      <c r="C429" s="183"/>
      <c r="D429" s="28"/>
      <c r="E429" s="183"/>
      <c r="F429" s="428"/>
    </row>
    <row r="430" spans="1:6" outlineLevel="1" x14ac:dyDescent="0.25">
      <c r="A430" s="426"/>
      <c r="B430" s="185" t="s">
        <v>448</v>
      </c>
      <c r="C430" s="183" t="s">
        <v>461</v>
      </c>
      <c r="D430" s="34"/>
      <c r="E430" s="379" cm="1">
        <f t="array" ref="E430:E433">+TRANSPOSE('Annex 2. Ms, SFs, Short term '!D45:G45)</f>
        <v>38.723917808219191</v>
      </c>
      <c r="F430" s="429" cm="1">
        <f t="array" ref="F430:F433">+TRANSPOSE('Annex 2. Ms, SFs, Short term '!D62:G62)</f>
        <v>39.04720491803279</v>
      </c>
    </row>
    <row r="431" spans="1:6" outlineLevel="1" x14ac:dyDescent="0.25">
      <c r="A431" s="426"/>
      <c r="B431" s="185" t="s">
        <v>449</v>
      </c>
      <c r="C431" s="183" t="s">
        <v>461</v>
      </c>
      <c r="D431" s="34"/>
      <c r="E431" s="379">
        <v>39.154183561643841</v>
      </c>
      <c r="F431" s="429">
        <v>39.04720491803279</v>
      </c>
    </row>
    <row r="432" spans="1:6" outlineLevel="1" x14ac:dyDescent="0.25">
      <c r="A432" s="426"/>
      <c r="B432" s="185" t="s">
        <v>450</v>
      </c>
      <c r="C432" s="183" t="s">
        <v>461</v>
      </c>
      <c r="D432" s="34"/>
      <c r="E432" s="379">
        <v>39.584449315068504</v>
      </c>
      <c r="F432" s="429">
        <v>39.476295081967223</v>
      </c>
    </row>
    <row r="433" spans="1:6" outlineLevel="1" x14ac:dyDescent="0.25">
      <c r="A433" s="426"/>
      <c r="B433" s="185" t="s">
        <v>451</v>
      </c>
      <c r="C433" s="183" t="s">
        <v>461</v>
      </c>
      <c r="D433" s="34"/>
      <c r="E433" s="379">
        <v>39.584449315068504</v>
      </c>
      <c r="F433" s="429">
        <v>39.476295081967223</v>
      </c>
    </row>
    <row r="434" spans="1:6" outlineLevel="1" x14ac:dyDescent="0.25">
      <c r="A434" s="426"/>
      <c r="B434" s="179" t="s">
        <v>465</v>
      </c>
      <c r="C434" s="183"/>
      <c r="D434" s="34"/>
      <c r="E434" s="183"/>
      <c r="F434" s="428"/>
    </row>
    <row r="435" spans="1:6" outlineLevel="1" x14ac:dyDescent="0.25">
      <c r="A435" s="426"/>
      <c r="B435" s="185" t="s">
        <v>196</v>
      </c>
      <c r="C435" s="183" t="s">
        <v>462</v>
      </c>
      <c r="D435" s="34"/>
      <c r="E435" s="379" cm="1">
        <f t="array" ref="E435:E446">+TRANSPOSE('Annex 2. Ms, SFs, Short term '!H45:S45)</f>
        <v>15.15708904109589</v>
      </c>
      <c r="F435" s="429" cm="1">
        <f t="array" ref="F435:F446">+TRANSPOSE('Annex 2. Ms, SFs, Short term '!H62:S62)</f>
        <v>15.115676229508196</v>
      </c>
    </row>
    <row r="436" spans="1:6" outlineLevel="1" x14ac:dyDescent="0.25">
      <c r="A436" s="426"/>
      <c r="B436" s="185" t="s">
        <v>197</v>
      </c>
      <c r="C436" s="183" t="s">
        <v>462</v>
      </c>
      <c r="D436" s="34"/>
      <c r="E436" s="379">
        <v>13.690273972602743</v>
      </c>
      <c r="F436" s="429">
        <v>14.140471311475411</v>
      </c>
    </row>
    <row r="437" spans="1:6" outlineLevel="1" x14ac:dyDescent="0.25">
      <c r="A437" s="426"/>
      <c r="B437" s="185" t="s">
        <v>198</v>
      </c>
      <c r="C437" s="183" t="s">
        <v>462</v>
      </c>
      <c r="D437" s="34"/>
      <c r="E437" s="379">
        <v>15.15708904109589</v>
      </c>
      <c r="F437" s="429">
        <v>15.115676229508196</v>
      </c>
    </row>
    <row r="438" spans="1:6" outlineLevel="1" x14ac:dyDescent="0.25">
      <c r="A438" s="426"/>
      <c r="B438" s="185" t="s">
        <v>199</v>
      </c>
      <c r="C438" s="183" t="s">
        <v>462</v>
      </c>
      <c r="D438" s="34"/>
      <c r="E438" s="379">
        <v>14.668150684931508</v>
      </c>
      <c r="F438" s="429">
        <v>14.628073770491802</v>
      </c>
    </row>
    <row r="439" spans="1:6" outlineLevel="1" x14ac:dyDescent="0.25">
      <c r="A439" s="426"/>
      <c r="B439" s="185" t="s">
        <v>200</v>
      </c>
      <c r="C439" s="183" t="s">
        <v>462</v>
      </c>
      <c r="D439" s="34"/>
      <c r="E439" s="379">
        <v>15.15708904109589</v>
      </c>
      <c r="F439" s="429">
        <v>15.115676229508196</v>
      </c>
    </row>
    <row r="440" spans="1:6" outlineLevel="1" x14ac:dyDescent="0.25">
      <c r="A440" s="426"/>
      <c r="B440" s="185" t="s">
        <v>201</v>
      </c>
      <c r="C440" s="183" t="s">
        <v>462</v>
      </c>
      <c r="D440" s="34"/>
      <c r="E440" s="379">
        <v>14.668150684931508</v>
      </c>
      <c r="F440" s="429">
        <v>14.628073770491802</v>
      </c>
    </row>
    <row r="441" spans="1:6" outlineLevel="1" x14ac:dyDescent="0.25">
      <c r="A441" s="426"/>
      <c r="B441" s="185" t="s">
        <v>202</v>
      </c>
      <c r="C441" s="183" t="s">
        <v>462</v>
      </c>
      <c r="D441" s="34"/>
      <c r="E441" s="379">
        <v>15.15708904109589</v>
      </c>
      <c r="F441" s="429">
        <v>15.115676229508196</v>
      </c>
    </row>
    <row r="442" spans="1:6" outlineLevel="1" x14ac:dyDescent="0.25">
      <c r="A442" s="426"/>
      <c r="B442" s="185" t="s">
        <v>203</v>
      </c>
      <c r="C442" s="183" t="s">
        <v>462</v>
      </c>
      <c r="D442" s="34"/>
      <c r="E442" s="379">
        <v>15.15708904109589</v>
      </c>
      <c r="F442" s="429">
        <v>15.115676229508196</v>
      </c>
    </row>
    <row r="443" spans="1:6" outlineLevel="1" x14ac:dyDescent="0.25">
      <c r="A443" s="426"/>
      <c r="B443" s="185" t="s">
        <v>204</v>
      </c>
      <c r="C443" s="183" t="s">
        <v>462</v>
      </c>
      <c r="D443" s="34"/>
      <c r="E443" s="379">
        <v>14.668150684931508</v>
      </c>
      <c r="F443" s="429">
        <v>14.628073770491802</v>
      </c>
    </row>
    <row r="444" spans="1:6" outlineLevel="1" x14ac:dyDescent="0.25">
      <c r="A444" s="426"/>
      <c r="B444" s="185" t="s">
        <v>205</v>
      </c>
      <c r="C444" s="183" t="s">
        <v>462</v>
      </c>
      <c r="D444" s="34"/>
      <c r="E444" s="379">
        <v>15.15708904109589</v>
      </c>
      <c r="F444" s="429">
        <v>15.115676229508196</v>
      </c>
    </row>
    <row r="445" spans="1:6" outlineLevel="1" x14ac:dyDescent="0.25">
      <c r="A445" s="426"/>
      <c r="B445" s="185" t="s">
        <v>206</v>
      </c>
      <c r="C445" s="183" t="s">
        <v>462</v>
      </c>
      <c r="D445" s="34"/>
      <c r="E445" s="379">
        <v>14.668150684931508</v>
      </c>
      <c r="F445" s="429">
        <v>14.628073770491802</v>
      </c>
    </row>
    <row r="446" spans="1:6" outlineLevel="1" x14ac:dyDescent="0.25">
      <c r="A446" s="426"/>
      <c r="B446" s="185" t="s">
        <v>207</v>
      </c>
      <c r="C446" s="183" t="s">
        <v>462</v>
      </c>
      <c r="D446" s="34"/>
      <c r="E446" s="379">
        <v>15.15708904109589</v>
      </c>
      <c r="F446" s="429">
        <v>15.115676229508196</v>
      </c>
    </row>
    <row r="447" spans="1:6" outlineLevel="1" x14ac:dyDescent="0.25">
      <c r="A447" s="426"/>
      <c r="B447" s="179" t="s">
        <v>466</v>
      </c>
      <c r="C447" s="183"/>
      <c r="D447" s="34"/>
      <c r="E447" s="183"/>
      <c r="F447" s="428"/>
    </row>
    <row r="448" spans="1:6" outlineLevel="1" x14ac:dyDescent="0.25">
      <c r="A448" s="426"/>
      <c r="B448" s="185" t="s">
        <v>196</v>
      </c>
      <c r="C448" s="183" t="s">
        <v>463</v>
      </c>
      <c r="D448" s="34"/>
      <c r="E448" s="379" cm="1">
        <f t="array" ref="E448:E459">+TRANSPOSE('Annex 2. Ms, SFs, Short term '!T45:AE45)</f>
        <v>0.58672602739726043</v>
      </c>
      <c r="F448" s="429" cm="1">
        <f t="array" ref="F448:F459">+TRANSPOSE('Annex 2. Ms, SFs, Short term '!T62:AE62)</f>
        <v>0.58512295081967225</v>
      </c>
    </row>
    <row r="449" spans="1:6" outlineLevel="1" x14ac:dyDescent="0.25">
      <c r="A449" s="426"/>
      <c r="B449" s="185" t="s">
        <v>197</v>
      </c>
      <c r="C449" s="183" t="s">
        <v>463</v>
      </c>
      <c r="D449" s="34"/>
      <c r="E449" s="379">
        <v>0.58672602739726043</v>
      </c>
      <c r="F449" s="429">
        <v>0.58512295081967225</v>
      </c>
    </row>
    <row r="450" spans="1:6" outlineLevel="1" x14ac:dyDescent="0.25">
      <c r="A450" s="426"/>
      <c r="B450" s="185" t="s">
        <v>198</v>
      </c>
      <c r="C450" s="183" t="s">
        <v>463</v>
      </c>
      <c r="D450" s="34"/>
      <c r="E450" s="379">
        <v>0.58672602739726043</v>
      </c>
      <c r="F450" s="429">
        <v>0.58512295081967225</v>
      </c>
    </row>
    <row r="451" spans="1:6" outlineLevel="1" x14ac:dyDescent="0.25">
      <c r="A451" s="426"/>
      <c r="B451" s="185" t="s">
        <v>199</v>
      </c>
      <c r="C451" s="183" t="s">
        <v>463</v>
      </c>
      <c r="D451" s="34"/>
      <c r="E451" s="379">
        <v>0.58672602739726043</v>
      </c>
      <c r="F451" s="429">
        <v>0.58512295081967225</v>
      </c>
    </row>
    <row r="452" spans="1:6" outlineLevel="1" x14ac:dyDescent="0.25">
      <c r="A452" s="426"/>
      <c r="B452" s="185" t="s">
        <v>200</v>
      </c>
      <c r="C452" s="183" t="s">
        <v>463</v>
      </c>
      <c r="D452" s="34"/>
      <c r="E452" s="379">
        <v>0.58672602739726043</v>
      </c>
      <c r="F452" s="429">
        <v>0.58512295081967225</v>
      </c>
    </row>
    <row r="453" spans="1:6" outlineLevel="1" x14ac:dyDescent="0.25">
      <c r="A453" s="426"/>
      <c r="B453" s="185" t="s">
        <v>201</v>
      </c>
      <c r="C453" s="183" t="s">
        <v>463</v>
      </c>
      <c r="D453" s="34"/>
      <c r="E453" s="379">
        <v>0.58672602739726043</v>
      </c>
      <c r="F453" s="429">
        <v>0.58512295081967225</v>
      </c>
    </row>
    <row r="454" spans="1:6" outlineLevel="1" x14ac:dyDescent="0.25">
      <c r="A454" s="426"/>
      <c r="B454" s="185" t="s">
        <v>202</v>
      </c>
      <c r="C454" s="183" t="s">
        <v>463</v>
      </c>
      <c r="D454" s="34"/>
      <c r="E454" s="379">
        <v>0.58672602739726043</v>
      </c>
      <c r="F454" s="429">
        <v>0.58512295081967225</v>
      </c>
    </row>
    <row r="455" spans="1:6" outlineLevel="1" x14ac:dyDescent="0.25">
      <c r="A455" s="426"/>
      <c r="B455" s="185" t="s">
        <v>203</v>
      </c>
      <c r="C455" s="183" t="s">
        <v>463</v>
      </c>
      <c r="D455" s="34"/>
      <c r="E455" s="379">
        <v>0.58672602739726043</v>
      </c>
      <c r="F455" s="429">
        <v>0.58512295081967225</v>
      </c>
    </row>
    <row r="456" spans="1:6" outlineLevel="1" x14ac:dyDescent="0.25">
      <c r="A456" s="426"/>
      <c r="B456" s="185" t="s">
        <v>204</v>
      </c>
      <c r="C456" s="183" t="s">
        <v>463</v>
      </c>
      <c r="D456" s="34"/>
      <c r="E456" s="379">
        <v>0.58672602739726043</v>
      </c>
      <c r="F456" s="429">
        <v>0.58512295081967225</v>
      </c>
    </row>
    <row r="457" spans="1:6" outlineLevel="1" x14ac:dyDescent="0.25">
      <c r="A457" s="426"/>
      <c r="B457" s="185" t="s">
        <v>205</v>
      </c>
      <c r="C457" s="183" t="s">
        <v>463</v>
      </c>
      <c r="D457" s="34"/>
      <c r="E457" s="379">
        <v>0.58672602739726043</v>
      </c>
      <c r="F457" s="429">
        <v>0.58512295081967225</v>
      </c>
    </row>
    <row r="458" spans="1:6" outlineLevel="1" x14ac:dyDescent="0.25">
      <c r="A458" s="426"/>
      <c r="B458" s="185" t="s">
        <v>206</v>
      </c>
      <c r="C458" s="183" t="s">
        <v>463</v>
      </c>
      <c r="D458" s="34"/>
      <c r="E458" s="379">
        <v>0.58672602739726043</v>
      </c>
      <c r="F458" s="429">
        <v>0.58512295081967225</v>
      </c>
    </row>
    <row r="459" spans="1:6" outlineLevel="1" x14ac:dyDescent="0.25">
      <c r="A459" s="426"/>
      <c r="B459" s="185" t="s">
        <v>207</v>
      </c>
      <c r="C459" s="183" t="s">
        <v>463</v>
      </c>
      <c r="D459" s="34"/>
      <c r="E459" s="379">
        <v>0.58672602739726043</v>
      </c>
      <c r="F459" s="429">
        <v>0.58512295081967225</v>
      </c>
    </row>
    <row r="460" spans="1:6" outlineLevel="1" x14ac:dyDescent="0.25">
      <c r="A460" s="426"/>
      <c r="B460" s="179" t="s">
        <v>467</v>
      </c>
      <c r="C460" s="183"/>
      <c r="D460" s="34"/>
      <c r="E460" s="183"/>
      <c r="F460" s="428"/>
    </row>
    <row r="461" spans="1:6" outlineLevel="1" x14ac:dyDescent="0.25">
      <c r="A461" s="426"/>
      <c r="B461" s="185" t="s">
        <v>196</v>
      </c>
      <c r="C461" s="183" t="s">
        <v>463</v>
      </c>
      <c r="D461" s="28"/>
      <c r="E461" s="379" cm="1">
        <f t="array" ref="E461:E472">+TRANSPOSE('Annex 2. Ms, SFs, Short term '!AF45:AQ45)</f>
        <v>0.58672602739726043</v>
      </c>
      <c r="F461" s="429" cm="1">
        <f t="array" ref="F461:F472">+TRANSPOSE('Annex 2. Ms, SFs, Short term '!AF62:AQ62)</f>
        <v>0.66313934426229515</v>
      </c>
    </row>
    <row r="462" spans="1:6" outlineLevel="1" x14ac:dyDescent="0.25">
      <c r="A462" s="426"/>
      <c r="B462" s="185" t="s">
        <v>197</v>
      </c>
      <c r="C462" s="183" t="s">
        <v>463</v>
      </c>
      <c r="D462" s="28"/>
      <c r="E462" s="379">
        <v>0.58672602739726043</v>
      </c>
      <c r="F462" s="429">
        <v>0.66313934426229515</v>
      </c>
    </row>
    <row r="463" spans="1:6" outlineLevel="1" x14ac:dyDescent="0.25">
      <c r="A463" s="426"/>
      <c r="B463" s="185" t="s">
        <v>198</v>
      </c>
      <c r="C463" s="183" t="s">
        <v>463</v>
      </c>
      <c r="D463" s="34"/>
      <c r="E463" s="379">
        <v>0.58672602739726043</v>
      </c>
      <c r="F463" s="429">
        <v>0.66313934426229515</v>
      </c>
    </row>
    <row r="464" spans="1:6" outlineLevel="1" x14ac:dyDescent="0.25">
      <c r="A464" s="426"/>
      <c r="B464" s="185" t="s">
        <v>199</v>
      </c>
      <c r="C464" s="183" t="s">
        <v>463</v>
      </c>
      <c r="D464" s="34"/>
      <c r="E464" s="379">
        <v>0.58672602739726043</v>
      </c>
      <c r="F464" s="429">
        <v>0.66313934426229515</v>
      </c>
    </row>
    <row r="465" spans="1:6" outlineLevel="1" x14ac:dyDescent="0.25">
      <c r="A465" s="426"/>
      <c r="B465" s="185" t="s">
        <v>200</v>
      </c>
      <c r="C465" s="183" t="s">
        <v>463</v>
      </c>
      <c r="D465" s="34"/>
      <c r="E465" s="379">
        <v>0.58672602739726043</v>
      </c>
      <c r="F465" s="429">
        <v>0.66313934426229515</v>
      </c>
    </row>
    <row r="466" spans="1:6" outlineLevel="1" x14ac:dyDescent="0.25">
      <c r="A466" s="426"/>
      <c r="B466" s="185" t="s">
        <v>201</v>
      </c>
      <c r="C466" s="183" t="s">
        <v>463</v>
      </c>
      <c r="D466" s="34"/>
      <c r="E466" s="379">
        <v>0.58672602739726043</v>
      </c>
      <c r="F466" s="429">
        <v>0.66313934426229515</v>
      </c>
    </row>
    <row r="467" spans="1:6" outlineLevel="1" x14ac:dyDescent="0.25">
      <c r="A467" s="426"/>
      <c r="B467" s="185" t="s">
        <v>202</v>
      </c>
      <c r="C467" s="183" t="s">
        <v>463</v>
      </c>
      <c r="D467" s="34"/>
      <c r="E467" s="379">
        <v>0.58672602739726043</v>
      </c>
      <c r="F467" s="429">
        <v>0.66313934426229515</v>
      </c>
    </row>
    <row r="468" spans="1:6" outlineLevel="1" x14ac:dyDescent="0.25">
      <c r="A468" s="426"/>
      <c r="B468" s="185" t="s">
        <v>203</v>
      </c>
      <c r="C468" s="183" t="s">
        <v>463</v>
      </c>
      <c r="D468" s="34"/>
      <c r="E468" s="379">
        <v>0.58672602739726043</v>
      </c>
      <c r="F468" s="429">
        <v>0.66313934426229515</v>
      </c>
    </row>
    <row r="469" spans="1:6" outlineLevel="1" x14ac:dyDescent="0.25">
      <c r="A469" s="426"/>
      <c r="B469" s="185" t="s">
        <v>204</v>
      </c>
      <c r="C469" s="183" t="s">
        <v>463</v>
      </c>
      <c r="D469" s="34"/>
      <c r="E469" s="379">
        <v>0.58672602739726043</v>
      </c>
      <c r="F469" s="429">
        <v>0.66313934426229515</v>
      </c>
    </row>
    <row r="470" spans="1:6" outlineLevel="1" x14ac:dyDescent="0.25">
      <c r="A470" s="426"/>
      <c r="B470" s="185" t="s">
        <v>205</v>
      </c>
      <c r="C470" s="183" t="s">
        <v>463</v>
      </c>
      <c r="D470" s="34"/>
      <c r="E470" s="379">
        <v>0.58672602739726043</v>
      </c>
      <c r="F470" s="429">
        <v>0.66313934426229515</v>
      </c>
    </row>
    <row r="471" spans="1:6" outlineLevel="1" x14ac:dyDescent="0.25">
      <c r="A471" s="426"/>
      <c r="B471" s="185" t="s">
        <v>206</v>
      </c>
      <c r="C471" s="183" t="s">
        <v>463</v>
      </c>
      <c r="D471" s="34"/>
      <c r="E471" s="379">
        <v>0.58672602739726043</v>
      </c>
      <c r="F471" s="429">
        <v>0.66313934426229515</v>
      </c>
    </row>
    <row r="472" spans="1:6" outlineLevel="1" x14ac:dyDescent="0.25">
      <c r="A472" s="426"/>
      <c r="B472" s="185" t="s">
        <v>207</v>
      </c>
      <c r="C472" s="183" t="s">
        <v>463</v>
      </c>
      <c r="D472" s="34"/>
      <c r="E472" s="379">
        <v>0.58672602739726043</v>
      </c>
      <c r="F472" s="429">
        <v>0.66313934426229515</v>
      </c>
    </row>
    <row r="473" spans="1:6" outlineLevel="1" x14ac:dyDescent="0.25">
      <c r="A473" s="426"/>
      <c r="B473" s="322" t="s">
        <v>7</v>
      </c>
      <c r="C473" s="322"/>
      <c r="D473" s="28"/>
      <c r="E473" s="322"/>
      <c r="F473" s="427"/>
    </row>
    <row r="474" spans="1:6" outlineLevel="1" x14ac:dyDescent="0.25">
      <c r="A474" s="426"/>
      <c r="B474" s="179" t="s">
        <v>464</v>
      </c>
      <c r="C474" s="183"/>
      <c r="D474" s="28"/>
      <c r="E474" s="183"/>
      <c r="F474" s="428"/>
    </row>
    <row r="475" spans="1:6" outlineLevel="1" x14ac:dyDescent="0.25">
      <c r="A475" s="426"/>
      <c r="B475" s="185" t="s">
        <v>448</v>
      </c>
      <c r="C475" s="183" t="s">
        <v>461</v>
      </c>
      <c r="D475" s="34"/>
      <c r="E475" s="379" cm="1">
        <f t="array" ref="E475:E478">+TRANSPOSE('Annex 2. Ms, SFs, Short term '!D44:G44)</f>
        <v>38.723917808219191</v>
      </c>
      <c r="F475" s="429" cm="1">
        <f t="array" ref="F475:F478">+TRANSPOSE('Annex 2. Ms, SFs, Short term '!D61:G61)</f>
        <v>39.04720491803279</v>
      </c>
    </row>
    <row r="476" spans="1:6" outlineLevel="1" x14ac:dyDescent="0.25">
      <c r="A476" s="426"/>
      <c r="B476" s="185" t="s">
        <v>449</v>
      </c>
      <c r="C476" s="183" t="s">
        <v>461</v>
      </c>
      <c r="D476" s="34"/>
      <c r="E476" s="379">
        <v>39.154183561643841</v>
      </c>
      <c r="F476" s="429">
        <v>39.04720491803279</v>
      </c>
    </row>
    <row r="477" spans="1:6" outlineLevel="1" x14ac:dyDescent="0.25">
      <c r="A477" s="426"/>
      <c r="B477" s="185" t="s">
        <v>450</v>
      </c>
      <c r="C477" s="183" t="s">
        <v>461</v>
      </c>
      <c r="D477" s="34"/>
      <c r="E477" s="379">
        <v>39.584449315068504</v>
      </c>
      <c r="F477" s="429">
        <v>39.476295081967223</v>
      </c>
    </row>
    <row r="478" spans="1:6" outlineLevel="1" x14ac:dyDescent="0.25">
      <c r="A478" s="426"/>
      <c r="B478" s="185" t="s">
        <v>451</v>
      </c>
      <c r="C478" s="183" t="s">
        <v>461</v>
      </c>
      <c r="D478" s="34"/>
      <c r="E478" s="379">
        <v>39.584449315068504</v>
      </c>
      <c r="F478" s="429">
        <v>39.476295081967223</v>
      </c>
    </row>
    <row r="479" spans="1:6" outlineLevel="1" x14ac:dyDescent="0.25">
      <c r="A479" s="426"/>
      <c r="B479" s="179" t="s">
        <v>465</v>
      </c>
      <c r="C479" s="183"/>
      <c r="D479" s="34"/>
      <c r="E479" s="183"/>
      <c r="F479" s="428"/>
    </row>
    <row r="480" spans="1:6" outlineLevel="1" x14ac:dyDescent="0.25">
      <c r="A480" s="426"/>
      <c r="B480" s="185" t="s">
        <v>196</v>
      </c>
      <c r="C480" s="183" t="s">
        <v>462</v>
      </c>
      <c r="D480" s="34"/>
      <c r="E480" s="379" cm="1">
        <f t="array" ref="E480:E491">+TRANSPOSE('Annex 2. Ms, SFs, Short term '!H44:S44)</f>
        <v>15.15708904109589</v>
      </c>
      <c r="F480" s="429" cm="1">
        <f t="array" ref="F480:F491">+TRANSPOSE('Annex 2. Ms, SFs, Short term '!H62:S62)</f>
        <v>15.115676229508196</v>
      </c>
    </row>
    <row r="481" spans="1:6" outlineLevel="1" x14ac:dyDescent="0.25">
      <c r="A481" s="426"/>
      <c r="B481" s="185" t="s">
        <v>197</v>
      </c>
      <c r="C481" s="183" t="s">
        <v>462</v>
      </c>
      <c r="D481" s="34"/>
      <c r="E481" s="379">
        <v>13.690273972602743</v>
      </c>
      <c r="F481" s="429">
        <v>14.140471311475411</v>
      </c>
    </row>
    <row r="482" spans="1:6" outlineLevel="1" x14ac:dyDescent="0.25">
      <c r="A482" s="426"/>
      <c r="B482" s="185" t="s">
        <v>198</v>
      </c>
      <c r="C482" s="183" t="s">
        <v>462</v>
      </c>
      <c r="D482" s="34"/>
      <c r="E482" s="379">
        <v>15.15708904109589</v>
      </c>
      <c r="F482" s="429">
        <v>15.115676229508196</v>
      </c>
    </row>
    <row r="483" spans="1:6" outlineLevel="1" x14ac:dyDescent="0.25">
      <c r="A483" s="426"/>
      <c r="B483" s="185" t="s">
        <v>199</v>
      </c>
      <c r="C483" s="183" t="s">
        <v>462</v>
      </c>
      <c r="D483" s="34"/>
      <c r="E483" s="379">
        <v>14.668150684931508</v>
      </c>
      <c r="F483" s="429">
        <v>14.628073770491802</v>
      </c>
    </row>
    <row r="484" spans="1:6" outlineLevel="1" x14ac:dyDescent="0.25">
      <c r="A484" s="426"/>
      <c r="B484" s="185" t="s">
        <v>200</v>
      </c>
      <c r="C484" s="183" t="s">
        <v>462</v>
      </c>
      <c r="D484" s="34"/>
      <c r="E484" s="379">
        <v>15.15708904109589</v>
      </c>
      <c r="F484" s="429">
        <v>15.115676229508196</v>
      </c>
    </row>
    <row r="485" spans="1:6" outlineLevel="1" x14ac:dyDescent="0.25">
      <c r="A485" s="426"/>
      <c r="B485" s="185" t="s">
        <v>201</v>
      </c>
      <c r="C485" s="183" t="s">
        <v>462</v>
      </c>
      <c r="D485" s="34"/>
      <c r="E485" s="379">
        <v>14.668150684931508</v>
      </c>
      <c r="F485" s="429">
        <v>14.628073770491802</v>
      </c>
    </row>
    <row r="486" spans="1:6" outlineLevel="1" x14ac:dyDescent="0.25">
      <c r="A486" s="426"/>
      <c r="B486" s="185" t="s">
        <v>202</v>
      </c>
      <c r="C486" s="183" t="s">
        <v>462</v>
      </c>
      <c r="D486" s="34"/>
      <c r="E486" s="379">
        <v>15.15708904109589</v>
      </c>
      <c r="F486" s="429">
        <v>15.115676229508196</v>
      </c>
    </row>
    <row r="487" spans="1:6" outlineLevel="1" x14ac:dyDescent="0.25">
      <c r="A487" s="426"/>
      <c r="B487" s="185" t="s">
        <v>203</v>
      </c>
      <c r="C487" s="183" t="s">
        <v>462</v>
      </c>
      <c r="D487" s="34"/>
      <c r="E487" s="379">
        <v>15.15708904109589</v>
      </c>
      <c r="F487" s="429">
        <v>15.115676229508196</v>
      </c>
    </row>
    <row r="488" spans="1:6" outlineLevel="1" x14ac:dyDescent="0.25">
      <c r="A488" s="426"/>
      <c r="B488" s="185" t="s">
        <v>204</v>
      </c>
      <c r="C488" s="183" t="s">
        <v>462</v>
      </c>
      <c r="D488" s="34"/>
      <c r="E488" s="379">
        <v>14.668150684931508</v>
      </c>
      <c r="F488" s="429">
        <v>14.628073770491802</v>
      </c>
    </row>
    <row r="489" spans="1:6" outlineLevel="1" x14ac:dyDescent="0.25">
      <c r="A489" s="426"/>
      <c r="B489" s="185" t="s">
        <v>205</v>
      </c>
      <c r="C489" s="183" t="s">
        <v>462</v>
      </c>
      <c r="D489" s="34"/>
      <c r="E489" s="379">
        <v>15.15708904109589</v>
      </c>
      <c r="F489" s="429">
        <v>15.115676229508196</v>
      </c>
    </row>
    <row r="490" spans="1:6" outlineLevel="1" x14ac:dyDescent="0.25">
      <c r="A490" s="426"/>
      <c r="B490" s="185" t="s">
        <v>206</v>
      </c>
      <c r="C490" s="183" t="s">
        <v>462</v>
      </c>
      <c r="D490" s="34"/>
      <c r="E490" s="379">
        <v>14.668150684931508</v>
      </c>
      <c r="F490" s="429">
        <v>14.628073770491802</v>
      </c>
    </row>
    <row r="491" spans="1:6" outlineLevel="1" x14ac:dyDescent="0.25">
      <c r="A491" s="426"/>
      <c r="B491" s="185" t="s">
        <v>207</v>
      </c>
      <c r="C491" s="183" t="s">
        <v>462</v>
      </c>
      <c r="D491" s="34"/>
      <c r="E491" s="379">
        <v>15.15708904109589</v>
      </c>
      <c r="F491" s="429">
        <v>15.115676229508196</v>
      </c>
    </row>
    <row r="492" spans="1:6" outlineLevel="1" x14ac:dyDescent="0.25">
      <c r="A492" s="426"/>
      <c r="B492" s="179" t="s">
        <v>466</v>
      </c>
      <c r="C492" s="183"/>
      <c r="D492" s="34"/>
      <c r="E492" s="183"/>
      <c r="F492" s="428"/>
    </row>
    <row r="493" spans="1:6" outlineLevel="1" x14ac:dyDescent="0.25">
      <c r="A493" s="426"/>
      <c r="B493" s="185" t="s">
        <v>196</v>
      </c>
      <c r="C493" s="183" t="s">
        <v>463</v>
      </c>
      <c r="D493" s="34"/>
      <c r="E493" s="379" cm="1">
        <f t="array" ref="E493:E504">+TRANSPOSE('Annex 2. Ms, SFs, Short term '!T44:AE44)</f>
        <v>0.58672602739726043</v>
      </c>
      <c r="F493" s="429" cm="1">
        <f t="array" ref="F493:F504">+TRANSPOSE('Annex 2. Ms, SFs, Short term '!T61:AE61)</f>
        <v>0.58512295081967225</v>
      </c>
    </row>
    <row r="494" spans="1:6" outlineLevel="1" x14ac:dyDescent="0.25">
      <c r="A494" s="426"/>
      <c r="B494" s="185" t="s">
        <v>197</v>
      </c>
      <c r="C494" s="183" t="s">
        <v>463</v>
      </c>
      <c r="D494" s="34"/>
      <c r="E494" s="379">
        <v>0.58672602739726043</v>
      </c>
      <c r="F494" s="429">
        <v>0.58512295081967225</v>
      </c>
    </row>
    <row r="495" spans="1:6" outlineLevel="1" x14ac:dyDescent="0.25">
      <c r="A495" s="426"/>
      <c r="B495" s="185" t="s">
        <v>198</v>
      </c>
      <c r="C495" s="183" t="s">
        <v>463</v>
      </c>
      <c r="D495" s="34"/>
      <c r="E495" s="379">
        <v>0.58672602739726043</v>
      </c>
      <c r="F495" s="429">
        <v>0.58512295081967225</v>
      </c>
    </row>
    <row r="496" spans="1:6" outlineLevel="1" x14ac:dyDescent="0.25">
      <c r="A496" s="426"/>
      <c r="B496" s="185" t="s">
        <v>199</v>
      </c>
      <c r="C496" s="183" t="s">
        <v>463</v>
      </c>
      <c r="D496" s="34"/>
      <c r="E496" s="379">
        <v>0.58672602739726043</v>
      </c>
      <c r="F496" s="429">
        <v>0.58512295081967225</v>
      </c>
    </row>
    <row r="497" spans="1:6" outlineLevel="1" x14ac:dyDescent="0.25">
      <c r="A497" s="426"/>
      <c r="B497" s="185" t="s">
        <v>200</v>
      </c>
      <c r="C497" s="183" t="s">
        <v>463</v>
      </c>
      <c r="D497" s="34"/>
      <c r="E497" s="379">
        <v>0.58672602739726043</v>
      </c>
      <c r="F497" s="429">
        <v>0.58512295081967225</v>
      </c>
    </row>
    <row r="498" spans="1:6" outlineLevel="1" x14ac:dyDescent="0.25">
      <c r="A498" s="426"/>
      <c r="B498" s="185" t="s">
        <v>201</v>
      </c>
      <c r="C498" s="183" t="s">
        <v>463</v>
      </c>
      <c r="D498" s="34"/>
      <c r="E498" s="379">
        <v>0.58672602739726043</v>
      </c>
      <c r="F498" s="429">
        <v>0.58512295081967225</v>
      </c>
    </row>
    <row r="499" spans="1:6" outlineLevel="1" x14ac:dyDescent="0.25">
      <c r="A499" s="426"/>
      <c r="B499" s="185" t="s">
        <v>202</v>
      </c>
      <c r="C499" s="183" t="s">
        <v>463</v>
      </c>
      <c r="D499" s="34"/>
      <c r="E499" s="379">
        <v>0.58672602739726043</v>
      </c>
      <c r="F499" s="429">
        <v>0.58512295081967225</v>
      </c>
    </row>
    <row r="500" spans="1:6" outlineLevel="1" x14ac:dyDescent="0.25">
      <c r="A500" s="426"/>
      <c r="B500" s="185" t="s">
        <v>203</v>
      </c>
      <c r="C500" s="183" t="s">
        <v>463</v>
      </c>
      <c r="D500" s="34"/>
      <c r="E500" s="379">
        <v>0.58672602739726043</v>
      </c>
      <c r="F500" s="429">
        <v>0.58512295081967225</v>
      </c>
    </row>
    <row r="501" spans="1:6" outlineLevel="1" x14ac:dyDescent="0.25">
      <c r="A501" s="426"/>
      <c r="B501" s="185" t="s">
        <v>204</v>
      </c>
      <c r="C501" s="183" t="s">
        <v>463</v>
      </c>
      <c r="D501" s="34"/>
      <c r="E501" s="379">
        <v>0.58672602739726043</v>
      </c>
      <c r="F501" s="429">
        <v>0.58512295081967225</v>
      </c>
    </row>
    <row r="502" spans="1:6" outlineLevel="1" x14ac:dyDescent="0.25">
      <c r="A502" s="426"/>
      <c r="B502" s="185" t="s">
        <v>205</v>
      </c>
      <c r="C502" s="183" t="s">
        <v>463</v>
      </c>
      <c r="D502" s="34"/>
      <c r="E502" s="379">
        <v>0.58672602739726043</v>
      </c>
      <c r="F502" s="429">
        <v>0.58512295081967225</v>
      </c>
    </row>
    <row r="503" spans="1:6" outlineLevel="1" x14ac:dyDescent="0.25">
      <c r="A503" s="426"/>
      <c r="B503" s="185" t="s">
        <v>206</v>
      </c>
      <c r="C503" s="183" t="s">
        <v>463</v>
      </c>
      <c r="D503" s="34"/>
      <c r="E503" s="379">
        <v>0.58672602739726043</v>
      </c>
      <c r="F503" s="429">
        <v>0.58512295081967225</v>
      </c>
    </row>
    <row r="504" spans="1:6" outlineLevel="1" x14ac:dyDescent="0.25">
      <c r="A504" s="426"/>
      <c r="B504" s="185" t="s">
        <v>207</v>
      </c>
      <c r="C504" s="183" t="s">
        <v>463</v>
      </c>
      <c r="D504" s="34"/>
      <c r="E504" s="379">
        <v>0.58672602739726043</v>
      </c>
      <c r="F504" s="429">
        <v>0.58512295081967225</v>
      </c>
    </row>
    <row r="505" spans="1:6" outlineLevel="1" x14ac:dyDescent="0.25">
      <c r="A505" s="426"/>
      <c r="B505" s="179" t="s">
        <v>467</v>
      </c>
      <c r="C505" s="183"/>
      <c r="D505" s="34"/>
      <c r="E505" s="183"/>
      <c r="F505" s="428"/>
    </row>
    <row r="506" spans="1:6" outlineLevel="1" x14ac:dyDescent="0.25">
      <c r="A506" s="426"/>
      <c r="B506" s="185" t="s">
        <v>196</v>
      </c>
      <c r="C506" s="183" t="s">
        <v>463</v>
      </c>
      <c r="D506" s="28"/>
      <c r="E506" s="379" cm="1">
        <f t="array" ref="E506:E517">+TRANSPOSE('Annex 2. Ms, SFs, Short term '!AF44:AQ44)</f>
        <v>0.58672602739726043</v>
      </c>
      <c r="F506" s="429" cm="1">
        <f t="array" ref="F506:F517">+TRANSPOSE('Annex 2. Ms, SFs, Short term '!AF61:AQ61)</f>
        <v>0.66313934426229515</v>
      </c>
    </row>
    <row r="507" spans="1:6" outlineLevel="1" x14ac:dyDescent="0.25">
      <c r="A507" s="426"/>
      <c r="B507" s="185" t="s">
        <v>197</v>
      </c>
      <c r="C507" s="183" t="s">
        <v>463</v>
      </c>
      <c r="D507" s="28"/>
      <c r="E507" s="379">
        <v>0.58672602739726043</v>
      </c>
      <c r="F507" s="429">
        <v>0.66313934426229515</v>
      </c>
    </row>
    <row r="508" spans="1:6" outlineLevel="1" x14ac:dyDescent="0.25">
      <c r="A508" s="426"/>
      <c r="B508" s="185" t="s">
        <v>198</v>
      </c>
      <c r="C508" s="183" t="s">
        <v>463</v>
      </c>
      <c r="D508" s="34"/>
      <c r="E508" s="379">
        <v>0.58672602739726043</v>
      </c>
      <c r="F508" s="429">
        <v>0.66313934426229515</v>
      </c>
    </row>
    <row r="509" spans="1:6" outlineLevel="1" x14ac:dyDescent="0.25">
      <c r="A509" s="426"/>
      <c r="B509" s="185" t="s">
        <v>199</v>
      </c>
      <c r="C509" s="183" t="s">
        <v>463</v>
      </c>
      <c r="D509" s="34"/>
      <c r="E509" s="379">
        <v>0.58672602739726043</v>
      </c>
      <c r="F509" s="429">
        <v>0.66313934426229515</v>
      </c>
    </row>
    <row r="510" spans="1:6" outlineLevel="1" x14ac:dyDescent="0.25">
      <c r="A510" s="426"/>
      <c r="B510" s="185" t="s">
        <v>200</v>
      </c>
      <c r="C510" s="183" t="s">
        <v>463</v>
      </c>
      <c r="D510" s="34"/>
      <c r="E510" s="379">
        <v>0.58672602739726043</v>
      </c>
      <c r="F510" s="429">
        <v>0.66313934426229515</v>
      </c>
    </row>
    <row r="511" spans="1:6" outlineLevel="1" x14ac:dyDescent="0.25">
      <c r="A511" s="426"/>
      <c r="B511" s="185" t="s">
        <v>201</v>
      </c>
      <c r="C511" s="183" t="s">
        <v>463</v>
      </c>
      <c r="D511" s="34"/>
      <c r="E511" s="379">
        <v>0.58672602739726043</v>
      </c>
      <c r="F511" s="429">
        <v>0.66313934426229515</v>
      </c>
    </row>
    <row r="512" spans="1:6" outlineLevel="1" x14ac:dyDescent="0.25">
      <c r="A512" s="426"/>
      <c r="B512" s="185" t="s">
        <v>202</v>
      </c>
      <c r="C512" s="183" t="s">
        <v>463</v>
      </c>
      <c r="D512" s="34"/>
      <c r="E512" s="379">
        <v>0.58672602739726043</v>
      </c>
      <c r="F512" s="429">
        <v>0.66313934426229515</v>
      </c>
    </row>
    <row r="513" spans="1:6" outlineLevel="1" x14ac:dyDescent="0.25">
      <c r="A513" s="426"/>
      <c r="B513" s="185" t="s">
        <v>203</v>
      </c>
      <c r="C513" s="183" t="s">
        <v>463</v>
      </c>
      <c r="D513" s="34"/>
      <c r="E513" s="379">
        <v>0.58672602739726043</v>
      </c>
      <c r="F513" s="429">
        <v>0.66313934426229515</v>
      </c>
    </row>
    <row r="514" spans="1:6" outlineLevel="1" x14ac:dyDescent="0.25">
      <c r="A514" s="426"/>
      <c r="B514" s="185" t="s">
        <v>204</v>
      </c>
      <c r="C514" s="183" t="s">
        <v>463</v>
      </c>
      <c r="D514" s="34"/>
      <c r="E514" s="379">
        <v>0.58672602739726043</v>
      </c>
      <c r="F514" s="429">
        <v>0.66313934426229515</v>
      </c>
    </row>
    <row r="515" spans="1:6" outlineLevel="1" x14ac:dyDescent="0.25">
      <c r="A515" s="426"/>
      <c r="B515" s="185" t="s">
        <v>205</v>
      </c>
      <c r="C515" s="183" t="s">
        <v>463</v>
      </c>
      <c r="D515" s="34"/>
      <c r="E515" s="379">
        <v>0.58672602739726043</v>
      </c>
      <c r="F515" s="429">
        <v>0.66313934426229515</v>
      </c>
    </row>
    <row r="516" spans="1:6" outlineLevel="1" x14ac:dyDescent="0.25">
      <c r="A516" s="426"/>
      <c r="B516" s="185" t="s">
        <v>206</v>
      </c>
      <c r="C516" s="183" t="s">
        <v>463</v>
      </c>
      <c r="D516" s="34"/>
      <c r="E516" s="379">
        <v>0.58672602739726043</v>
      </c>
      <c r="F516" s="429">
        <v>0.66313934426229515</v>
      </c>
    </row>
    <row r="517" spans="1:6" outlineLevel="1" x14ac:dyDescent="0.25">
      <c r="A517" s="426"/>
      <c r="B517" s="185" t="s">
        <v>207</v>
      </c>
      <c r="C517" s="183" t="s">
        <v>463</v>
      </c>
      <c r="D517" s="34"/>
      <c r="E517" s="379">
        <v>0.58672602739726043</v>
      </c>
      <c r="F517" s="429">
        <v>0.66313934426229515</v>
      </c>
    </row>
    <row r="518" spans="1:6" outlineLevel="1" x14ac:dyDescent="0.25">
      <c r="A518" s="426"/>
      <c r="B518" s="322" t="s">
        <v>8</v>
      </c>
      <c r="C518" s="322"/>
      <c r="D518" s="28"/>
      <c r="E518" s="322"/>
      <c r="F518" s="427"/>
    </row>
    <row r="519" spans="1:6" outlineLevel="1" x14ac:dyDescent="0.25">
      <c r="A519" s="426"/>
      <c r="B519" s="179" t="s">
        <v>464</v>
      </c>
      <c r="C519" s="183"/>
      <c r="D519" s="28"/>
      <c r="E519" s="183"/>
      <c r="F519" s="428"/>
    </row>
    <row r="520" spans="1:6" outlineLevel="1" x14ac:dyDescent="0.25">
      <c r="A520" s="426"/>
      <c r="B520" s="185" t="s">
        <v>448</v>
      </c>
      <c r="C520" s="183" t="s">
        <v>461</v>
      </c>
      <c r="D520" s="34"/>
      <c r="E520" s="379" cm="1">
        <f t="array" ref="E520:E523">+TRANSPOSE('Annex 2. Ms, SFs, Short term '!D46:G46)</f>
        <v>31.642027397260279</v>
      </c>
      <c r="F520" s="429" cm="1">
        <f t="array" ref="F520:F523">+TRANSPOSE('Annex 2. Ms, SFs, Short term '!D63:G63)</f>
        <v>29.885046448087429</v>
      </c>
    </row>
    <row r="521" spans="1:6" outlineLevel="1" x14ac:dyDescent="0.25">
      <c r="A521" s="426"/>
      <c r="B521" s="185" t="s">
        <v>449</v>
      </c>
      <c r="C521" s="183" t="s">
        <v>461</v>
      </c>
      <c r="D521" s="34"/>
      <c r="E521" s="379">
        <v>31.993605479452057</v>
      </c>
      <c r="F521" s="429">
        <v>29.885046448087429</v>
      </c>
    </row>
    <row r="522" spans="1:6" outlineLevel="1" x14ac:dyDescent="0.25">
      <c r="A522" s="426"/>
      <c r="B522" s="185" t="s">
        <v>450</v>
      </c>
      <c r="C522" s="183" t="s">
        <v>461</v>
      </c>
      <c r="D522" s="34"/>
      <c r="E522" s="379">
        <v>32.345183561643836</v>
      </c>
      <c r="F522" s="429">
        <v>30.213453551912572</v>
      </c>
    </row>
    <row r="523" spans="1:6" outlineLevel="1" x14ac:dyDescent="0.25">
      <c r="A523" s="426"/>
      <c r="B523" s="185" t="s">
        <v>451</v>
      </c>
      <c r="C523" s="183" t="s">
        <v>461</v>
      </c>
      <c r="D523" s="34"/>
      <c r="E523" s="379">
        <v>32.345183561643836</v>
      </c>
      <c r="F523" s="429">
        <v>30.213453551912572</v>
      </c>
    </row>
    <row r="524" spans="1:6" outlineLevel="1" x14ac:dyDescent="0.25">
      <c r="A524" s="426"/>
      <c r="B524" s="179" t="s">
        <v>465</v>
      </c>
      <c r="C524" s="183"/>
      <c r="D524" s="34"/>
      <c r="E524" s="183"/>
      <c r="F524" s="428"/>
    </row>
    <row r="525" spans="1:6" outlineLevel="1" x14ac:dyDescent="0.25">
      <c r="A525" s="426"/>
      <c r="B525" s="185" t="s">
        <v>196</v>
      </c>
      <c r="C525" s="183" t="s">
        <v>462</v>
      </c>
      <c r="D525" s="34"/>
      <c r="E525" s="379" cm="1">
        <f t="array" ref="E525:E536">+TRANSPOSE('Annex 2. Ms, SFs, Short term '!H46:S46)</f>
        <v>12.385136986301369</v>
      </c>
      <c r="F525" s="429" cm="1">
        <f t="array" ref="F525:F536">+TRANSPOSE('Annex 2. Ms, SFs, Short term '!H63:S63)</f>
        <v>11.568886612021856</v>
      </c>
    </row>
    <row r="526" spans="1:6" outlineLevel="1" x14ac:dyDescent="0.25">
      <c r="A526" s="426"/>
      <c r="B526" s="185" t="s">
        <v>197</v>
      </c>
      <c r="C526" s="183" t="s">
        <v>462</v>
      </c>
      <c r="D526" s="34"/>
      <c r="E526" s="379">
        <v>11.186575342465755</v>
      </c>
      <c r="F526" s="429">
        <v>10.822506830601093</v>
      </c>
    </row>
    <row r="527" spans="1:6" outlineLevel="1" x14ac:dyDescent="0.25">
      <c r="A527" s="426"/>
      <c r="B527" s="185" t="s">
        <v>198</v>
      </c>
      <c r="C527" s="183" t="s">
        <v>462</v>
      </c>
      <c r="D527" s="34"/>
      <c r="E527" s="379">
        <v>12.385136986301369</v>
      </c>
      <c r="F527" s="429">
        <v>11.568886612021856</v>
      </c>
    </row>
    <row r="528" spans="1:6" outlineLevel="1" x14ac:dyDescent="0.25">
      <c r="A528" s="426"/>
      <c r="B528" s="185" t="s">
        <v>199</v>
      </c>
      <c r="C528" s="183" t="s">
        <v>462</v>
      </c>
      <c r="D528" s="34"/>
      <c r="E528" s="379">
        <v>11.985616438356164</v>
      </c>
      <c r="F528" s="429">
        <v>11.195696721311474</v>
      </c>
    </row>
    <row r="529" spans="1:6" outlineLevel="1" x14ac:dyDescent="0.25">
      <c r="A529" s="426"/>
      <c r="B529" s="185" t="s">
        <v>200</v>
      </c>
      <c r="C529" s="183" t="s">
        <v>462</v>
      </c>
      <c r="D529" s="34"/>
      <c r="E529" s="379">
        <v>12.385136986301369</v>
      </c>
      <c r="F529" s="429">
        <v>11.568886612021856</v>
      </c>
    </row>
    <row r="530" spans="1:6" outlineLevel="1" x14ac:dyDescent="0.25">
      <c r="A530" s="426"/>
      <c r="B530" s="185" t="s">
        <v>201</v>
      </c>
      <c r="C530" s="183" t="s">
        <v>462</v>
      </c>
      <c r="D530" s="34"/>
      <c r="E530" s="379">
        <v>11.985616438356164</v>
      </c>
      <c r="F530" s="429">
        <v>11.195696721311474</v>
      </c>
    </row>
    <row r="531" spans="1:6" outlineLevel="1" x14ac:dyDescent="0.25">
      <c r="A531" s="426"/>
      <c r="B531" s="185" t="s">
        <v>202</v>
      </c>
      <c r="C531" s="183" t="s">
        <v>462</v>
      </c>
      <c r="D531" s="34"/>
      <c r="E531" s="379">
        <v>12.385136986301369</v>
      </c>
      <c r="F531" s="429">
        <v>11.568886612021856</v>
      </c>
    </row>
    <row r="532" spans="1:6" outlineLevel="1" x14ac:dyDescent="0.25">
      <c r="A532" s="426"/>
      <c r="B532" s="185" t="s">
        <v>203</v>
      </c>
      <c r="C532" s="183" t="s">
        <v>462</v>
      </c>
      <c r="D532" s="34"/>
      <c r="E532" s="379">
        <v>12.385136986301369</v>
      </c>
      <c r="F532" s="429">
        <v>11.568886612021856</v>
      </c>
    </row>
    <row r="533" spans="1:6" outlineLevel="1" x14ac:dyDescent="0.25">
      <c r="A533" s="426"/>
      <c r="B533" s="185" t="s">
        <v>204</v>
      </c>
      <c r="C533" s="183" t="s">
        <v>462</v>
      </c>
      <c r="D533" s="34"/>
      <c r="E533" s="379">
        <v>11.985616438356164</v>
      </c>
      <c r="F533" s="429">
        <v>11.195696721311474</v>
      </c>
    </row>
    <row r="534" spans="1:6" outlineLevel="1" x14ac:dyDescent="0.25">
      <c r="A534" s="426"/>
      <c r="B534" s="185" t="s">
        <v>205</v>
      </c>
      <c r="C534" s="183" t="s">
        <v>462</v>
      </c>
      <c r="D534" s="34"/>
      <c r="E534" s="379">
        <v>12.385136986301369</v>
      </c>
      <c r="F534" s="429">
        <v>11.568886612021856</v>
      </c>
    </row>
    <row r="535" spans="1:6" outlineLevel="1" x14ac:dyDescent="0.25">
      <c r="A535" s="426"/>
      <c r="B535" s="185" t="s">
        <v>206</v>
      </c>
      <c r="C535" s="183" t="s">
        <v>462</v>
      </c>
      <c r="D535" s="34"/>
      <c r="E535" s="379">
        <v>11.985616438356164</v>
      </c>
      <c r="F535" s="429">
        <v>11.195696721311474</v>
      </c>
    </row>
    <row r="536" spans="1:6" outlineLevel="1" x14ac:dyDescent="0.25">
      <c r="A536" s="426"/>
      <c r="B536" s="185" t="s">
        <v>207</v>
      </c>
      <c r="C536" s="183" t="s">
        <v>462</v>
      </c>
      <c r="D536" s="34"/>
      <c r="E536" s="379">
        <v>12.385136986301369</v>
      </c>
      <c r="F536" s="429">
        <v>11.568886612021856</v>
      </c>
    </row>
    <row r="537" spans="1:6" outlineLevel="1" x14ac:dyDescent="0.25">
      <c r="A537" s="426"/>
      <c r="B537" s="179" t="s">
        <v>466</v>
      </c>
      <c r="C537" s="183"/>
      <c r="D537" s="34"/>
      <c r="E537" s="183"/>
      <c r="F537" s="428"/>
    </row>
    <row r="538" spans="1:6" outlineLevel="1" x14ac:dyDescent="0.25">
      <c r="A538" s="426"/>
      <c r="B538" s="185" t="s">
        <v>196</v>
      </c>
      <c r="C538" s="183" t="s">
        <v>463</v>
      </c>
      <c r="D538" s="34"/>
      <c r="E538" s="379" cm="1">
        <f t="array" ref="E538:E549">+TRANSPOSE('Annex 2. Ms, SFs, Short term '!T46:AE46)</f>
        <v>0.47942465753424662</v>
      </c>
      <c r="F538" s="429" cm="1">
        <f t="array" ref="F538:F549">+TRANSPOSE('Annex 2. Ms, SFs, Short term '!T63:AE63)</f>
        <v>0.44782786885245901</v>
      </c>
    </row>
    <row r="539" spans="1:6" outlineLevel="1" x14ac:dyDescent="0.25">
      <c r="A539" s="426"/>
      <c r="B539" s="185" t="s">
        <v>197</v>
      </c>
      <c r="C539" s="183" t="s">
        <v>463</v>
      </c>
      <c r="D539" s="34"/>
      <c r="E539" s="379">
        <v>0.47942465753424662</v>
      </c>
      <c r="F539" s="429">
        <v>0.44782786885245901</v>
      </c>
    </row>
    <row r="540" spans="1:6" outlineLevel="1" x14ac:dyDescent="0.25">
      <c r="A540" s="426"/>
      <c r="B540" s="185" t="s">
        <v>198</v>
      </c>
      <c r="C540" s="183" t="s">
        <v>463</v>
      </c>
      <c r="D540" s="34"/>
      <c r="E540" s="379">
        <v>0.47942465753424662</v>
      </c>
      <c r="F540" s="429">
        <v>0.44782786885245901</v>
      </c>
    </row>
    <row r="541" spans="1:6" outlineLevel="1" x14ac:dyDescent="0.25">
      <c r="A541" s="426"/>
      <c r="B541" s="185" t="s">
        <v>199</v>
      </c>
      <c r="C541" s="183" t="s">
        <v>463</v>
      </c>
      <c r="D541" s="34"/>
      <c r="E541" s="379">
        <v>0.47942465753424662</v>
      </c>
      <c r="F541" s="429">
        <v>0.44782786885245901</v>
      </c>
    </row>
    <row r="542" spans="1:6" outlineLevel="1" x14ac:dyDescent="0.25">
      <c r="A542" s="426"/>
      <c r="B542" s="185" t="s">
        <v>200</v>
      </c>
      <c r="C542" s="183" t="s">
        <v>463</v>
      </c>
      <c r="D542" s="34"/>
      <c r="E542" s="379">
        <v>0.47942465753424662</v>
      </c>
      <c r="F542" s="429">
        <v>0.44782786885245901</v>
      </c>
    </row>
    <row r="543" spans="1:6" outlineLevel="1" x14ac:dyDescent="0.25">
      <c r="A543" s="426"/>
      <c r="B543" s="185" t="s">
        <v>201</v>
      </c>
      <c r="C543" s="183" t="s">
        <v>463</v>
      </c>
      <c r="D543" s="34"/>
      <c r="E543" s="379">
        <v>0.47942465753424662</v>
      </c>
      <c r="F543" s="429">
        <v>0.44782786885245901</v>
      </c>
    </row>
    <row r="544" spans="1:6" outlineLevel="1" x14ac:dyDescent="0.25">
      <c r="A544" s="426"/>
      <c r="B544" s="185" t="s">
        <v>202</v>
      </c>
      <c r="C544" s="183" t="s">
        <v>463</v>
      </c>
      <c r="D544" s="34"/>
      <c r="E544" s="379">
        <v>0.47942465753424662</v>
      </c>
      <c r="F544" s="429">
        <v>0.44782786885245901</v>
      </c>
    </row>
    <row r="545" spans="1:6" outlineLevel="1" x14ac:dyDescent="0.25">
      <c r="A545" s="426"/>
      <c r="B545" s="185" t="s">
        <v>203</v>
      </c>
      <c r="C545" s="183" t="s">
        <v>463</v>
      </c>
      <c r="D545" s="34"/>
      <c r="E545" s="379">
        <v>0.47942465753424662</v>
      </c>
      <c r="F545" s="429">
        <v>0.44782786885245901</v>
      </c>
    </row>
    <row r="546" spans="1:6" outlineLevel="1" x14ac:dyDescent="0.25">
      <c r="A546" s="426"/>
      <c r="B546" s="185" t="s">
        <v>204</v>
      </c>
      <c r="C546" s="183" t="s">
        <v>463</v>
      </c>
      <c r="D546" s="34"/>
      <c r="E546" s="379">
        <v>0.47942465753424662</v>
      </c>
      <c r="F546" s="429">
        <v>0.44782786885245901</v>
      </c>
    </row>
    <row r="547" spans="1:6" outlineLevel="1" x14ac:dyDescent="0.25">
      <c r="A547" s="426"/>
      <c r="B547" s="185" t="s">
        <v>205</v>
      </c>
      <c r="C547" s="183" t="s">
        <v>463</v>
      </c>
      <c r="D547" s="34"/>
      <c r="E547" s="379">
        <v>0.47942465753424662</v>
      </c>
      <c r="F547" s="429">
        <v>0.44782786885245901</v>
      </c>
    </row>
    <row r="548" spans="1:6" outlineLevel="1" x14ac:dyDescent="0.25">
      <c r="A548" s="426"/>
      <c r="B548" s="185" t="s">
        <v>206</v>
      </c>
      <c r="C548" s="183" t="s">
        <v>463</v>
      </c>
      <c r="D548" s="34"/>
      <c r="E548" s="379">
        <v>0.47942465753424662</v>
      </c>
      <c r="F548" s="429">
        <v>0.44782786885245901</v>
      </c>
    </row>
    <row r="549" spans="1:6" outlineLevel="1" x14ac:dyDescent="0.25">
      <c r="A549" s="426"/>
      <c r="B549" s="185" t="s">
        <v>207</v>
      </c>
      <c r="C549" s="183" t="s">
        <v>463</v>
      </c>
      <c r="D549" s="34"/>
      <c r="E549" s="379">
        <v>0.47942465753424662</v>
      </c>
      <c r="F549" s="429">
        <v>0.44782786885245901</v>
      </c>
    </row>
    <row r="550" spans="1:6" outlineLevel="1" x14ac:dyDescent="0.25">
      <c r="A550" s="426"/>
      <c r="B550" s="179" t="s">
        <v>467</v>
      </c>
      <c r="C550" s="183"/>
      <c r="D550" s="34"/>
      <c r="E550" s="183"/>
      <c r="F550" s="428"/>
    </row>
    <row r="551" spans="1:6" outlineLevel="1" x14ac:dyDescent="0.25">
      <c r="A551" s="426"/>
      <c r="B551" s="185" t="s">
        <v>196</v>
      </c>
      <c r="C551" s="183" t="s">
        <v>463</v>
      </c>
      <c r="D551" s="28"/>
      <c r="E551" s="379" cm="1">
        <f t="array" ref="E551:E562">+TRANSPOSE('Annex 2. Ms, SFs, Short term '!AF46:AQ46)</f>
        <v>0.47942465753424662</v>
      </c>
      <c r="F551" s="429" cm="1">
        <f t="array" ref="F551:F562">+TRANSPOSE('Annex 2. Ms, SFs, Short term '!AF63:AQ63)</f>
        <v>0.50753825136612019</v>
      </c>
    </row>
    <row r="552" spans="1:6" outlineLevel="1" x14ac:dyDescent="0.25">
      <c r="A552" s="426"/>
      <c r="B552" s="185" t="s">
        <v>197</v>
      </c>
      <c r="C552" s="183" t="s">
        <v>463</v>
      </c>
      <c r="D552" s="28"/>
      <c r="E552" s="379">
        <v>0.47942465753424662</v>
      </c>
      <c r="F552" s="429">
        <v>0.50753825136612019</v>
      </c>
    </row>
    <row r="553" spans="1:6" outlineLevel="1" x14ac:dyDescent="0.25">
      <c r="A553" s="426"/>
      <c r="B553" s="185" t="s">
        <v>198</v>
      </c>
      <c r="C553" s="183" t="s">
        <v>463</v>
      </c>
      <c r="D553" s="34"/>
      <c r="E553" s="379">
        <v>0.47942465753424662</v>
      </c>
      <c r="F553" s="429">
        <v>0.50753825136612019</v>
      </c>
    </row>
    <row r="554" spans="1:6" outlineLevel="1" x14ac:dyDescent="0.25">
      <c r="A554" s="426"/>
      <c r="B554" s="185" t="s">
        <v>199</v>
      </c>
      <c r="C554" s="183" t="s">
        <v>463</v>
      </c>
      <c r="D554" s="34"/>
      <c r="E554" s="379">
        <v>0.47942465753424662</v>
      </c>
      <c r="F554" s="429">
        <v>0.50753825136612019</v>
      </c>
    </row>
    <row r="555" spans="1:6" outlineLevel="1" x14ac:dyDescent="0.25">
      <c r="A555" s="426"/>
      <c r="B555" s="185" t="s">
        <v>200</v>
      </c>
      <c r="C555" s="183" t="s">
        <v>463</v>
      </c>
      <c r="D555" s="34"/>
      <c r="E555" s="379">
        <v>0.47942465753424662</v>
      </c>
      <c r="F555" s="429">
        <v>0.50753825136612019</v>
      </c>
    </row>
    <row r="556" spans="1:6" outlineLevel="1" x14ac:dyDescent="0.25">
      <c r="A556" s="426"/>
      <c r="B556" s="185" t="s">
        <v>201</v>
      </c>
      <c r="C556" s="183" t="s">
        <v>463</v>
      </c>
      <c r="D556" s="34"/>
      <c r="E556" s="379">
        <v>0.47942465753424662</v>
      </c>
      <c r="F556" s="429">
        <v>0.50753825136612019</v>
      </c>
    </row>
    <row r="557" spans="1:6" outlineLevel="1" x14ac:dyDescent="0.25">
      <c r="A557" s="426"/>
      <c r="B557" s="185" t="s">
        <v>202</v>
      </c>
      <c r="C557" s="183" t="s">
        <v>463</v>
      </c>
      <c r="D557" s="34"/>
      <c r="E557" s="379">
        <v>0.47942465753424662</v>
      </c>
      <c r="F557" s="429">
        <v>0.50753825136612019</v>
      </c>
    </row>
    <row r="558" spans="1:6" outlineLevel="1" x14ac:dyDescent="0.25">
      <c r="A558" s="426"/>
      <c r="B558" s="185" t="s">
        <v>203</v>
      </c>
      <c r="C558" s="183" t="s">
        <v>463</v>
      </c>
      <c r="D558" s="34"/>
      <c r="E558" s="379">
        <v>0.47942465753424662</v>
      </c>
      <c r="F558" s="429">
        <v>0.50753825136612019</v>
      </c>
    </row>
    <row r="559" spans="1:6" outlineLevel="1" x14ac:dyDescent="0.25">
      <c r="A559" s="426"/>
      <c r="B559" s="185" t="s">
        <v>204</v>
      </c>
      <c r="C559" s="183" t="s">
        <v>463</v>
      </c>
      <c r="D559" s="34"/>
      <c r="E559" s="379">
        <v>0.47942465753424662</v>
      </c>
      <c r="F559" s="429">
        <v>0.50753825136612019</v>
      </c>
    </row>
    <row r="560" spans="1:6" outlineLevel="1" x14ac:dyDescent="0.25">
      <c r="A560" s="426"/>
      <c r="B560" s="185" t="s">
        <v>205</v>
      </c>
      <c r="C560" s="183" t="s">
        <v>463</v>
      </c>
      <c r="D560" s="34"/>
      <c r="E560" s="379">
        <v>0.47942465753424662</v>
      </c>
      <c r="F560" s="429">
        <v>0.50753825136612019</v>
      </c>
    </row>
    <row r="561" spans="1:6" outlineLevel="1" x14ac:dyDescent="0.25">
      <c r="A561" s="426"/>
      <c r="B561" s="185" t="s">
        <v>206</v>
      </c>
      <c r="C561" s="183" t="s">
        <v>463</v>
      </c>
      <c r="D561" s="34"/>
      <c r="E561" s="379">
        <v>0.47942465753424662</v>
      </c>
      <c r="F561" s="429">
        <v>0.50753825136612019</v>
      </c>
    </row>
    <row r="562" spans="1:6" outlineLevel="1" x14ac:dyDescent="0.25">
      <c r="A562" s="426"/>
      <c r="B562" s="185" t="s">
        <v>207</v>
      </c>
      <c r="C562" s="183" t="s">
        <v>463</v>
      </c>
      <c r="D562" s="34"/>
      <c r="E562" s="379">
        <v>0.47942465753424662</v>
      </c>
      <c r="F562" s="429">
        <v>0.50753825136612019</v>
      </c>
    </row>
    <row r="563" spans="1:6" outlineLevel="1" x14ac:dyDescent="0.25">
      <c r="A563" s="426"/>
      <c r="B563" s="322" t="s">
        <v>84</v>
      </c>
      <c r="C563" s="322"/>
      <c r="D563" s="28"/>
      <c r="E563" s="322"/>
      <c r="F563" s="427"/>
    </row>
    <row r="564" spans="1:6" outlineLevel="1" x14ac:dyDescent="0.25">
      <c r="A564" s="426"/>
      <c r="B564" s="179" t="s">
        <v>464</v>
      </c>
      <c r="C564" s="183"/>
      <c r="D564" s="28"/>
      <c r="E564" s="183"/>
      <c r="F564" s="428"/>
    </row>
    <row r="565" spans="1:6" outlineLevel="1" x14ac:dyDescent="0.25">
      <c r="A565" s="426"/>
      <c r="B565" s="185" t="s">
        <v>448</v>
      </c>
      <c r="C565" s="183" t="s">
        <v>461</v>
      </c>
      <c r="D565" s="34"/>
      <c r="E565" s="379" cm="1">
        <f t="array" ref="E565:E568">+TRANSPOSE('Annex 2. Ms, SFs, Short term '!D48:G48)</f>
        <v>31.642027397260279</v>
      </c>
      <c r="F565" s="429" cm="1">
        <f t="array" ref="F565:F568">+TRANSPOSE('Annex 2. Ms, SFs, Short term '!D65:G65)</f>
        <v>29.885046448087429</v>
      </c>
    </row>
    <row r="566" spans="1:6" outlineLevel="1" x14ac:dyDescent="0.25">
      <c r="A566" s="426"/>
      <c r="B566" s="185" t="s">
        <v>449</v>
      </c>
      <c r="C566" s="183" t="s">
        <v>461</v>
      </c>
      <c r="D566" s="34"/>
      <c r="E566" s="379">
        <v>31.993605479452057</v>
      </c>
      <c r="F566" s="429">
        <v>29.885046448087429</v>
      </c>
    </row>
    <row r="567" spans="1:6" outlineLevel="1" x14ac:dyDescent="0.25">
      <c r="A567" s="426"/>
      <c r="B567" s="185" t="s">
        <v>450</v>
      </c>
      <c r="C567" s="183" t="s">
        <v>461</v>
      </c>
      <c r="D567" s="34"/>
      <c r="E567" s="379">
        <v>32.345183561643836</v>
      </c>
      <c r="F567" s="429">
        <v>30.213453551912572</v>
      </c>
    </row>
    <row r="568" spans="1:6" outlineLevel="1" x14ac:dyDescent="0.25">
      <c r="A568" s="426"/>
      <c r="B568" s="185" t="s">
        <v>451</v>
      </c>
      <c r="C568" s="183" t="s">
        <v>461</v>
      </c>
      <c r="D568" s="34"/>
      <c r="E568" s="379">
        <v>32.345183561643836</v>
      </c>
      <c r="F568" s="429">
        <v>30.213453551912572</v>
      </c>
    </row>
    <row r="569" spans="1:6" outlineLevel="1" x14ac:dyDescent="0.25">
      <c r="A569" s="426"/>
      <c r="B569" s="179" t="s">
        <v>465</v>
      </c>
      <c r="C569" s="183"/>
      <c r="D569" s="34"/>
      <c r="E569" s="183"/>
      <c r="F569" s="428"/>
    </row>
    <row r="570" spans="1:6" outlineLevel="1" x14ac:dyDescent="0.25">
      <c r="A570" s="426"/>
      <c r="B570" s="185" t="s">
        <v>196</v>
      </c>
      <c r="C570" s="183" t="s">
        <v>462</v>
      </c>
      <c r="D570" s="34"/>
      <c r="E570" s="379" cm="1">
        <f t="array" ref="E570:E581">+TRANSPOSE('Annex 2. Ms, SFs, Short term '!H48:S48)</f>
        <v>12.385136986301369</v>
      </c>
      <c r="F570" s="429" cm="1">
        <f t="array" ref="F570:F581">+TRANSPOSE('Annex 2. Ms, SFs, Short term '!H65:S65)</f>
        <v>11.568886612021856</v>
      </c>
    </row>
    <row r="571" spans="1:6" outlineLevel="1" x14ac:dyDescent="0.25">
      <c r="A571" s="426"/>
      <c r="B571" s="185" t="s">
        <v>197</v>
      </c>
      <c r="C571" s="183" t="s">
        <v>462</v>
      </c>
      <c r="D571" s="34"/>
      <c r="E571" s="379">
        <v>11.186575342465755</v>
      </c>
      <c r="F571" s="429">
        <v>10.822506830601093</v>
      </c>
    </row>
    <row r="572" spans="1:6" outlineLevel="1" x14ac:dyDescent="0.25">
      <c r="A572" s="426"/>
      <c r="B572" s="185" t="s">
        <v>198</v>
      </c>
      <c r="C572" s="183" t="s">
        <v>462</v>
      </c>
      <c r="D572" s="34"/>
      <c r="E572" s="379">
        <v>12.385136986301369</v>
      </c>
      <c r="F572" s="429">
        <v>11.568886612021856</v>
      </c>
    </row>
    <row r="573" spans="1:6" outlineLevel="1" x14ac:dyDescent="0.25">
      <c r="A573" s="426"/>
      <c r="B573" s="185" t="s">
        <v>199</v>
      </c>
      <c r="C573" s="183" t="s">
        <v>462</v>
      </c>
      <c r="D573" s="34"/>
      <c r="E573" s="379">
        <v>11.985616438356164</v>
      </c>
      <c r="F573" s="429">
        <v>11.195696721311474</v>
      </c>
    </row>
    <row r="574" spans="1:6" outlineLevel="1" x14ac:dyDescent="0.25">
      <c r="A574" s="426"/>
      <c r="B574" s="185" t="s">
        <v>200</v>
      </c>
      <c r="C574" s="183" t="s">
        <v>462</v>
      </c>
      <c r="D574" s="34"/>
      <c r="E574" s="379">
        <v>12.385136986301369</v>
      </c>
      <c r="F574" s="429">
        <v>11.568886612021856</v>
      </c>
    </row>
    <row r="575" spans="1:6" outlineLevel="1" x14ac:dyDescent="0.25">
      <c r="A575" s="426"/>
      <c r="B575" s="185" t="s">
        <v>201</v>
      </c>
      <c r="C575" s="183" t="s">
        <v>462</v>
      </c>
      <c r="D575" s="34"/>
      <c r="E575" s="379">
        <v>11.985616438356164</v>
      </c>
      <c r="F575" s="429">
        <v>11.195696721311474</v>
      </c>
    </row>
    <row r="576" spans="1:6" outlineLevel="1" x14ac:dyDescent="0.25">
      <c r="A576" s="426"/>
      <c r="B576" s="185" t="s">
        <v>202</v>
      </c>
      <c r="C576" s="183" t="s">
        <v>462</v>
      </c>
      <c r="D576" s="34"/>
      <c r="E576" s="379">
        <v>12.385136986301369</v>
      </c>
      <c r="F576" s="429">
        <v>11.568886612021856</v>
      </c>
    </row>
    <row r="577" spans="1:6" outlineLevel="1" x14ac:dyDescent="0.25">
      <c r="A577" s="426"/>
      <c r="B577" s="185" t="s">
        <v>203</v>
      </c>
      <c r="C577" s="183" t="s">
        <v>462</v>
      </c>
      <c r="D577" s="34"/>
      <c r="E577" s="379">
        <v>12.385136986301369</v>
      </c>
      <c r="F577" s="429">
        <v>11.568886612021856</v>
      </c>
    </row>
    <row r="578" spans="1:6" outlineLevel="1" x14ac:dyDescent="0.25">
      <c r="A578" s="426"/>
      <c r="B578" s="185" t="s">
        <v>204</v>
      </c>
      <c r="C578" s="183" t="s">
        <v>462</v>
      </c>
      <c r="D578" s="34"/>
      <c r="E578" s="379">
        <v>11.985616438356164</v>
      </c>
      <c r="F578" s="429">
        <v>11.195696721311474</v>
      </c>
    </row>
    <row r="579" spans="1:6" outlineLevel="1" x14ac:dyDescent="0.25">
      <c r="A579" s="426"/>
      <c r="B579" s="185" t="s">
        <v>205</v>
      </c>
      <c r="C579" s="183" t="s">
        <v>462</v>
      </c>
      <c r="D579" s="34"/>
      <c r="E579" s="379">
        <v>12.385136986301369</v>
      </c>
      <c r="F579" s="429">
        <v>11.568886612021856</v>
      </c>
    </row>
    <row r="580" spans="1:6" outlineLevel="1" x14ac:dyDescent="0.25">
      <c r="A580" s="426"/>
      <c r="B580" s="185" t="s">
        <v>206</v>
      </c>
      <c r="C580" s="183" t="s">
        <v>462</v>
      </c>
      <c r="D580" s="34"/>
      <c r="E580" s="379">
        <v>11.985616438356164</v>
      </c>
      <c r="F580" s="429">
        <v>11.195696721311474</v>
      </c>
    </row>
    <row r="581" spans="1:6" outlineLevel="1" x14ac:dyDescent="0.25">
      <c r="A581" s="426"/>
      <c r="B581" s="185" t="s">
        <v>207</v>
      </c>
      <c r="C581" s="183" t="s">
        <v>462</v>
      </c>
      <c r="D581" s="34"/>
      <c r="E581" s="379">
        <v>12.385136986301369</v>
      </c>
      <c r="F581" s="429">
        <v>11.568886612021856</v>
      </c>
    </row>
    <row r="582" spans="1:6" outlineLevel="1" x14ac:dyDescent="0.25">
      <c r="A582" s="426"/>
      <c r="B582" s="179" t="s">
        <v>466</v>
      </c>
      <c r="C582" s="183"/>
      <c r="D582" s="34"/>
      <c r="E582" s="183"/>
      <c r="F582" s="428"/>
    </row>
    <row r="583" spans="1:6" outlineLevel="1" x14ac:dyDescent="0.25">
      <c r="A583" s="426"/>
      <c r="B583" s="185" t="s">
        <v>196</v>
      </c>
      <c r="C583" s="183" t="s">
        <v>463</v>
      </c>
      <c r="D583" s="34"/>
      <c r="E583" s="379" cm="1">
        <f t="array" ref="E583:E594">+TRANSPOSE('Annex 2. Ms, SFs, Short term '!T48:AE48)</f>
        <v>0.47942465753424662</v>
      </c>
      <c r="F583" s="429" cm="1">
        <f t="array" ref="F583:F594">+TRANSPOSE('Annex 2. Ms, SFs, Short term '!T65:AE65)</f>
        <v>0.44782786885245901</v>
      </c>
    </row>
    <row r="584" spans="1:6" outlineLevel="1" x14ac:dyDescent="0.25">
      <c r="A584" s="426"/>
      <c r="B584" s="185" t="s">
        <v>197</v>
      </c>
      <c r="C584" s="183" t="s">
        <v>463</v>
      </c>
      <c r="D584" s="34"/>
      <c r="E584" s="379">
        <v>0.47942465753424662</v>
      </c>
      <c r="F584" s="429">
        <v>0.44782786885245901</v>
      </c>
    </row>
    <row r="585" spans="1:6" outlineLevel="1" x14ac:dyDescent="0.25">
      <c r="A585" s="426"/>
      <c r="B585" s="185" t="s">
        <v>198</v>
      </c>
      <c r="C585" s="183" t="s">
        <v>463</v>
      </c>
      <c r="D585" s="34"/>
      <c r="E585" s="379">
        <v>0.47942465753424662</v>
      </c>
      <c r="F585" s="429">
        <v>0.44782786885245901</v>
      </c>
    </row>
    <row r="586" spans="1:6" outlineLevel="1" x14ac:dyDescent="0.25">
      <c r="A586" s="426"/>
      <c r="B586" s="185" t="s">
        <v>199</v>
      </c>
      <c r="C586" s="183" t="s">
        <v>463</v>
      </c>
      <c r="D586" s="34"/>
      <c r="E586" s="379">
        <v>0.47942465753424662</v>
      </c>
      <c r="F586" s="429">
        <v>0.44782786885245901</v>
      </c>
    </row>
    <row r="587" spans="1:6" outlineLevel="1" x14ac:dyDescent="0.25">
      <c r="A587" s="426"/>
      <c r="B587" s="185" t="s">
        <v>200</v>
      </c>
      <c r="C587" s="183" t="s">
        <v>463</v>
      </c>
      <c r="D587" s="34"/>
      <c r="E587" s="379">
        <v>0.47942465753424662</v>
      </c>
      <c r="F587" s="429">
        <v>0.44782786885245901</v>
      </c>
    </row>
    <row r="588" spans="1:6" outlineLevel="1" x14ac:dyDescent="0.25">
      <c r="A588" s="426"/>
      <c r="B588" s="185" t="s">
        <v>201</v>
      </c>
      <c r="C588" s="183" t="s">
        <v>463</v>
      </c>
      <c r="D588" s="34"/>
      <c r="E588" s="379">
        <v>0.47942465753424662</v>
      </c>
      <c r="F588" s="429">
        <v>0.44782786885245901</v>
      </c>
    </row>
    <row r="589" spans="1:6" outlineLevel="1" x14ac:dyDescent="0.25">
      <c r="A589" s="426"/>
      <c r="B589" s="185" t="s">
        <v>202</v>
      </c>
      <c r="C589" s="183" t="s">
        <v>463</v>
      </c>
      <c r="D589" s="34"/>
      <c r="E589" s="379">
        <v>0.47942465753424662</v>
      </c>
      <c r="F589" s="429">
        <v>0.44782786885245901</v>
      </c>
    </row>
    <row r="590" spans="1:6" outlineLevel="1" x14ac:dyDescent="0.25">
      <c r="A590" s="426"/>
      <c r="B590" s="185" t="s">
        <v>203</v>
      </c>
      <c r="C590" s="183" t="s">
        <v>463</v>
      </c>
      <c r="D590" s="34"/>
      <c r="E590" s="379">
        <v>0.47942465753424662</v>
      </c>
      <c r="F590" s="429">
        <v>0.44782786885245901</v>
      </c>
    </row>
    <row r="591" spans="1:6" outlineLevel="1" x14ac:dyDescent="0.25">
      <c r="A591" s="426"/>
      <c r="B591" s="185" t="s">
        <v>204</v>
      </c>
      <c r="C591" s="183" t="s">
        <v>463</v>
      </c>
      <c r="D591" s="34"/>
      <c r="E591" s="379">
        <v>0.47942465753424662</v>
      </c>
      <c r="F591" s="429">
        <v>0.44782786885245901</v>
      </c>
    </row>
    <row r="592" spans="1:6" outlineLevel="1" x14ac:dyDescent="0.25">
      <c r="A592" s="426"/>
      <c r="B592" s="185" t="s">
        <v>205</v>
      </c>
      <c r="C592" s="183" t="s">
        <v>463</v>
      </c>
      <c r="D592" s="34"/>
      <c r="E592" s="379">
        <v>0.47942465753424662</v>
      </c>
      <c r="F592" s="429">
        <v>0.44782786885245901</v>
      </c>
    </row>
    <row r="593" spans="1:6" outlineLevel="1" x14ac:dyDescent="0.25">
      <c r="A593" s="426"/>
      <c r="B593" s="185" t="s">
        <v>206</v>
      </c>
      <c r="C593" s="183" t="s">
        <v>463</v>
      </c>
      <c r="D593" s="34"/>
      <c r="E593" s="379">
        <v>0.47942465753424662</v>
      </c>
      <c r="F593" s="429">
        <v>0.44782786885245901</v>
      </c>
    </row>
    <row r="594" spans="1:6" outlineLevel="1" x14ac:dyDescent="0.25">
      <c r="A594" s="426"/>
      <c r="B594" s="185" t="s">
        <v>207</v>
      </c>
      <c r="C594" s="183" t="s">
        <v>463</v>
      </c>
      <c r="D594" s="34"/>
      <c r="E594" s="379">
        <v>0.47942465753424662</v>
      </c>
      <c r="F594" s="429">
        <v>0.44782786885245901</v>
      </c>
    </row>
    <row r="595" spans="1:6" outlineLevel="1" x14ac:dyDescent="0.25">
      <c r="A595" s="426"/>
      <c r="B595" s="179" t="s">
        <v>467</v>
      </c>
      <c r="C595" s="183"/>
      <c r="D595" s="34"/>
      <c r="E595" s="183"/>
      <c r="F595" s="428"/>
    </row>
    <row r="596" spans="1:6" outlineLevel="1" x14ac:dyDescent="0.25">
      <c r="A596" s="426"/>
      <c r="B596" s="185" t="s">
        <v>196</v>
      </c>
      <c r="C596" s="183" t="s">
        <v>463</v>
      </c>
      <c r="D596" s="28"/>
      <c r="E596" s="379" cm="1">
        <f t="array" ref="E596:E607">+TRANSPOSE('Annex 2. Ms, SFs, Short term '!AF48:AQ48)</f>
        <v>0.47942465753424662</v>
      </c>
      <c r="F596" s="429" cm="1">
        <f t="array" ref="F596:F607">+TRANSPOSE('Annex 2. Ms, SFs, Short term '!AF65:AQ65)</f>
        <v>0.50753825136612019</v>
      </c>
    </row>
    <row r="597" spans="1:6" outlineLevel="1" x14ac:dyDescent="0.25">
      <c r="A597" s="426"/>
      <c r="B597" s="185" t="s">
        <v>197</v>
      </c>
      <c r="C597" s="183" t="s">
        <v>463</v>
      </c>
      <c r="D597" s="28"/>
      <c r="E597" s="379">
        <v>0.47942465753424662</v>
      </c>
      <c r="F597" s="429">
        <v>0.50753825136612019</v>
      </c>
    </row>
    <row r="598" spans="1:6" outlineLevel="1" x14ac:dyDescent="0.25">
      <c r="A598" s="426"/>
      <c r="B598" s="185" t="s">
        <v>198</v>
      </c>
      <c r="C598" s="183" t="s">
        <v>463</v>
      </c>
      <c r="D598" s="34"/>
      <c r="E598" s="379">
        <v>0.47942465753424662</v>
      </c>
      <c r="F598" s="429">
        <v>0.50753825136612019</v>
      </c>
    </row>
    <row r="599" spans="1:6" outlineLevel="1" x14ac:dyDescent="0.25">
      <c r="A599" s="426"/>
      <c r="B599" s="185" t="s">
        <v>199</v>
      </c>
      <c r="C599" s="183" t="s">
        <v>463</v>
      </c>
      <c r="D599" s="34"/>
      <c r="E599" s="379">
        <v>0.47942465753424662</v>
      </c>
      <c r="F599" s="429">
        <v>0.50753825136612019</v>
      </c>
    </row>
    <row r="600" spans="1:6" outlineLevel="1" x14ac:dyDescent="0.25">
      <c r="A600" s="426"/>
      <c r="B600" s="185" t="s">
        <v>200</v>
      </c>
      <c r="C600" s="183" t="s">
        <v>463</v>
      </c>
      <c r="D600" s="34"/>
      <c r="E600" s="379">
        <v>0.47942465753424662</v>
      </c>
      <c r="F600" s="429">
        <v>0.50753825136612019</v>
      </c>
    </row>
    <row r="601" spans="1:6" outlineLevel="1" x14ac:dyDescent="0.25">
      <c r="A601" s="426"/>
      <c r="B601" s="185" t="s">
        <v>201</v>
      </c>
      <c r="C601" s="183" t="s">
        <v>463</v>
      </c>
      <c r="D601" s="34"/>
      <c r="E601" s="379">
        <v>0.47942465753424662</v>
      </c>
      <c r="F601" s="429">
        <v>0.50753825136612019</v>
      </c>
    </row>
    <row r="602" spans="1:6" outlineLevel="1" x14ac:dyDescent="0.25">
      <c r="A602" s="426"/>
      <c r="B602" s="185" t="s">
        <v>202</v>
      </c>
      <c r="C602" s="183" t="s">
        <v>463</v>
      </c>
      <c r="D602" s="34"/>
      <c r="E602" s="379">
        <v>0.47942465753424662</v>
      </c>
      <c r="F602" s="429">
        <v>0.50753825136612019</v>
      </c>
    </row>
    <row r="603" spans="1:6" outlineLevel="1" x14ac:dyDescent="0.25">
      <c r="A603" s="426"/>
      <c r="B603" s="185" t="s">
        <v>203</v>
      </c>
      <c r="C603" s="183" t="s">
        <v>463</v>
      </c>
      <c r="D603" s="34"/>
      <c r="E603" s="379">
        <v>0.47942465753424662</v>
      </c>
      <c r="F603" s="429">
        <v>0.50753825136612019</v>
      </c>
    </row>
    <row r="604" spans="1:6" outlineLevel="1" x14ac:dyDescent="0.25">
      <c r="A604" s="426"/>
      <c r="B604" s="185" t="s">
        <v>204</v>
      </c>
      <c r="C604" s="183" t="s">
        <v>463</v>
      </c>
      <c r="D604" s="34"/>
      <c r="E604" s="379">
        <v>0.47942465753424662</v>
      </c>
      <c r="F604" s="429">
        <v>0.50753825136612019</v>
      </c>
    </row>
    <row r="605" spans="1:6" outlineLevel="1" x14ac:dyDescent="0.25">
      <c r="A605" s="426"/>
      <c r="B605" s="185" t="s">
        <v>205</v>
      </c>
      <c r="C605" s="183" t="s">
        <v>463</v>
      </c>
      <c r="D605" s="34"/>
      <c r="E605" s="379">
        <v>0.47942465753424662</v>
      </c>
      <c r="F605" s="429">
        <v>0.50753825136612019</v>
      </c>
    </row>
    <row r="606" spans="1:6" outlineLevel="1" x14ac:dyDescent="0.25">
      <c r="A606" s="426"/>
      <c r="B606" s="185" t="s">
        <v>206</v>
      </c>
      <c r="C606" s="183" t="s">
        <v>463</v>
      </c>
      <c r="D606" s="34"/>
      <c r="E606" s="379">
        <v>0.47942465753424662</v>
      </c>
      <c r="F606" s="429">
        <v>0.50753825136612019</v>
      </c>
    </row>
    <row r="607" spans="1:6" outlineLevel="1" x14ac:dyDescent="0.25">
      <c r="A607" s="426"/>
      <c r="B607" s="185" t="s">
        <v>207</v>
      </c>
      <c r="C607" s="183" t="s">
        <v>463</v>
      </c>
      <c r="D607" s="34"/>
      <c r="E607" s="379">
        <v>0.47942465753424662</v>
      </c>
      <c r="F607" s="429">
        <v>0.50753825136612019</v>
      </c>
    </row>
    <row r="608" spans="1:6" outlineLevel="1" x14ac:dyDescent="0.25">
      <c r="A608" s="426"/>
      <c r="B608" s="322" t="s">
        <v>309</v>
      </c>
      <c r="C608" s="322"/>
      <c r="D608" s="28"/>
      <c r="E608" s="322"/>
      <c r="F608" s="427"/>
    </row>
    <row r="609" spans="1:6" outlineLevel="1" x14ac:dyDescent="0.25">
      <c r="A609" s="426"/>
      <c r="B609" s="179" t="s">
        <v>464</v>
      </c>
      <c r="C609" s="183"/>
      <c r="D609" s="28"/>
      <c r="E609" s="183"/>
      <c r="F609" s="428"/>
    </row>
    <row r="610" spans="1:6" outlineLevel="1" x14ac:dyDescent="0.25">
      <c r="A610" s="426"/>
      <c r="B610" s="185" t="s">
        <v>448</v>
      </c>
      <c r="C610" s="183" t="s">
        <v>461</v>
      </c>
      <c r="D610" s="34"/>
      <c r="E610" s="379" cm="1">
        <f t="array" ref="E610:E613">+TRANSPOSE('Annex 2. Ms, SFs, Short term '!D49:G49)</f>
        <v>47.563089041095893</v>
      </c>
      <c r="F610" s="429" cm="1">
        <f t="array" ref="F610:F613">+TRANSPOSE('Annex 2. Ms, SFs, Short term '!D66:G66)</f>
        <v>50.315727459016394</v>
      </c>
    </row>
    <row r="611" spans="1:6" outlineLevel="1" x14ac:dyDescent="0.25">
      <c r="A611" s="426"/>
      <c r="B611" s="185" t="s">
        <v>449</v>
      </c>
      <c r="C611" s="183" t="s">
        <v>461</v>
      </c>
      <c r="D611" s="34"/>
      <c r="E611" s="379">
        <v>20.116734246575344</v>
      </c>
      <c r="F611" s="429">
        <v>23.480672814207651</v>
      </c>
    </row>
    <row r="612" spans="1:6" outlineLevel="1" x14ac:dyDescent="0.25">
      <c r="A612" s="426"/>
      <c r="B612" s="185" t="s">
        <v>450</v>
      </c>
      <c r="C612" s="183" t="s">
        <v>461</v>
      </c>
      <c r="D612" s="34"/>
      <c r="E612" s="379">
        <v>15.571126027397261</v>
      </c>
      <c r="F612" s="429">
        <v>16.617091530054648</v>
      </c>
    </row>
    <row r="613" spans="1:6" outlineLevel="1" x14ac:dyDescent="0.25">
      <c r="A613" s="426"/>
      <c r="B613" s="185" t="s">
        <v>451</v>
      </c>
      <c r="C613" s="183" t="s">
        <v>461</v>
      </c>
      <c r="D613" s="34"/>
      <c r="E613" s="379">
        <v>42.582263013698636</v>
      </c>
      <c r="F613" s="429">
        <v>44.425285519125694</v>
      </c>
    </row>
    <row r="614" spans="1:6" outlineLevel="1" x14ac:dyDescent="0.25">
      <c r="A614" s="426"/>
      <c r="B614" s="179" t="s">
        <v>465</v>
      </c>
      <c r="C614" s="183"/>
      <c r="D614" s="34"/>
      <c r="E614" s="183"/>
      <c r="F614" s="428"/>
    </row>
    <row r="615" spans="1:6" outlineLevel="1" x14ac:dyDescent="0.25">
      <c r="A615" s="426"/>
      <c r="B615" s="185" t="s">
        <v>196</v>
      </c>
      <c r="C615" s="183" t="s">
        <v>462</v>
      </c>
      <c r="D615" s="34"/>
      <c r="E615" s="379" cm="1">
        <f t="array" ref="E615:E626">+TRANSPOSE('Annex 2. Ms, SFs, Short term '!H49:S49)</f>
        <v>23.385703561643837</v>
      </c>
      <c r="F615" s="429" cm="1">
        <f t="array" ref="F615:F626">+TRANSPOSE('Annex 2. Ms, SFs, Short term '!H66:S66)</f>
        <v>23.722483196721313</v>
      </c>
    </row>
    <row r="616" spans="1:6" outlineLevel="1" x14ac:dyDescent="0.25">
      <c r="A616" s="426"/>
      <c r="B616" s="185" t="s">
        <v>197</v>
      </c>
      <c r="C616" s="183" t="s">
        <v>462</v>
      </c>
      <c r="D616" s="34"/>
      <c r="E616" s="379">
        <v>15.899957260273972</v>
      </c>
      <c r="F616" s="429">
        <v>17.44573442622951</v>
      </c>
    </row>
    <row r="617" spans="1:6" outlineLevel="1" x14ac:dyDescent="0.25">
      <c r="A617" s="426"/>
      <c r="B617" s="185" t="s">
        <v>198</v>
      </c>
      <c r="C617" s="183" t="s">
        <v>462</v>
      </c>
      <c r="D617" s="34"/>
      <c r="E617" s="379">
        <v>18.117495616438354</v>
      </c>
      <c r="F617" s="429">
        <v>19.060261065573769</v>
      </c>
    </row>
    <row r="618" spans="1:6" outlineLevel="1" x14ac:dyDescent="0.25">
      <c r="A618" s="426"/>
      <c r="B618" s="185" t="s">
        <v>199</v>
      </c>
      <c r="C618" s="183" t="s">
        <v>462</v>
      </c>
      <c r="D618" s="34"/>
      <c r="E618" s="379">
        <v>10.072183561643836</v>
      </c>
      <c r="F618" s="429">
        <v>11.810372950819673</v>
      </c>
    </row>
    <row r="619" spans="1:6" outlineLevel="1" x14ac:dyDescent="0.25">
      <c r="A619" s="426"/>
      <c r="B619" s="185" t="s">
        <v>200</v>
      </c>
      <c r="C619" s="183" t="s">
        <v>462</v>
      </c>
      <c r="D619" s="34"/>
      <c r="E619" s="379">
        <v>7.8380654794520552</v>
      </c>
      <c r="F619" s="429">
        <v>9.5986926229508196</v>
      </c>
    </row>
    <row r="620" spans="1:6" outlineLevel="1" x14ac:dyDescent="0.25">
      <c r="A620" s="426"/>
      <c r="B620" s="185" t="s">
        <v>201</v>
      </c>
      <c r="C620" s="183" t="s">
        <v>462</v>
      </c>
      <c r="D620" s="34"/>
      <c r="E620" s="379">
        <v>6.0930493150684928</v>
      </c>
      <c r="F620" s="429">
        <v>7.0331434426229524</v>
      </c>
    </row>
    <row r="621" spans="1:6" outlineLevel="1" x14ac:dyDescent="0.25">
      <c r="A621" s="426"/>
      <c r="B621" s="185" t="s">
        <v>202</v>
      </c>
      <c r="C621" s="183" t="s">
        <v>462</v>
      </c>
      <c r="D621" s="34"/>
      <c r="E621" s="379">
        <v>5.0112221917808224</v>
      </c>
      <c r="F621" s="429">
        <v>5.8963397540983618</v>
      </c>
    </row>
    <row r="622" spans="1:6" outlineLevel="1" x14ac:dyDescent="0.25">
      <c r="A622" s="426"/>
      <c r="B622" s="185" t="s">
        <v>203</v>
      </c>
      <c r="C622" s="183" t="s">
        <v>462</v>
      </c>
      <c r="D622" s="34"/>
      <c r="E622" s="379">
        <v>5.9106723287671237</v>
      </c>
      <c r="F622" s="429">
        <v>6.5819606557377055</v>
      </c>
    </row>
    <row r="623" spans="1:6" outlineLevel="1" x14ac:dyDescent="0.25">
      <c r="A623" s="426"/>
      <c r="B623" s="185" t="s">
        <v>204</v>
      </c>
      <c r="C623" s="183" t="s">
        <v>462</v>
      </c>
      <c r="D623" s="34"/>
      <c r="E623" s="379">
        <v>7.7095726027397262</v>
      </c>
      <c r="F623" s="429">
        <v>7.4312459016393451</v>
      </c>
    </row>
    <row r="624" spans="1:6" outlineLevel="1" x14ac:dyDescent="0.25">
      <c r="A624" s="426"/>
      <c r="B624" s="185" t="s">
        <v>205</v>
      </c>
      <c r="C624" s="183" t="s">
        <v>462</v>
      </c>
      <c r="D624" s="34"/>
      <c r="E624" s="379">
        <v>13.748737808219179</v>
      </c>
      <c r="F624" s="429">
        <v>13.438169672131147</v>
      </c>
    </row>
    <row r="625" spans="1:6" outlineLevel="1" x14ac:dyDescent="0.25">
      <c r="A625" s="426"/>
      <c r="B625" s="185" t="s">
        <v>206</v>
      </c>
      <c r="C625" s="183" t="s">
        <v>462</v>
      </c>
      <c r="D625" s="34"/>
      <c r="E625" s="379">
        <v>16.786972602739727</v>
      </c>
      <c r="F625" s="429">
        <v>16.985704918032788</v>
      </c>
    </row>
    <row r="626" spans="1:6" outlineLevel="1" x14ac:dyDescent="0.25">
      <c r="A626" s="426"/>
      <c r="B626" s="185" t="s">
        <v>207</v>
      </c>
      <c r="C626" s="183" t="s">
        <v>462</v>
      </c>
      <c r="D626" s="34"/>
      <c r="E626" s="379">
        <v>20.558860273972606</v>
      </c>
      <c r="F626" s="429">
        <v>22.762613934426231</v>
      </c>
    </row>
    <row r="627" spans="1:6" outlineLevel="1" x14ac:dyDescent="0.25">
      <c r="A627" s="426"/>
      <c r="B627" s="179" t="s">
        <v>468</v>
      </c>
      <c r="C627" s="183"/>
      <c r="D627" s="34"/>
      <c r="E627" s="183"/>
      <c r="F627" s="428"/>
    </row>
    <row r="628" spans="1:6" outlineLevel="1" x14ac:dyDescent="0.25">
      <c r="A628" s="426"/>
      <c r="B628" s="185" t="s">
        <v>196</v>
      </c>
      <c r="C628" s="183" t="s">
        <v>463</v>
      </c>
      <c r="D628" s="34"/>
      <c r="E628" s="379" cm="1">
        <f t="array" ref="E628:E639">+TRANSPOSE('Annex 2. Ms, SFs, Short term '!T49:AE49)</f>
        <v>1.5087550684931508</v>
      </c>
      <c r="F628" s="429" cm="1">
        <f t="array" ref="F628:F639">+TRANSPOSE('Annex 2. Ms, SFs, Short term '!T66:AE66)</f>
        <v>1.5304827868852462</v>
      </c>
    </row>
    <row r="629" spans="1:6" outlineLevel="1" x14ac:dyDescent="0.25">
      <c r="A629" s="426"/>
      <c r="B629" s="185" t="s">
        <v>197</v>
      </c>
      <c r="C629" s="183" t="s">
        <v>463</v>
      </c>
      <c r="D629" s="34"/>
      <c r="E629" s="379">
        <v>1.1357112328767127</v>
      </c>
      <c r="F629" s="429">
        <v>1.2031540983606559</v>
      </c>
    </row>
    <row r="630" spans="1:6" outlineLevel="1" x14ac:dyDescent="0.25">
      <c r="A630" s="426"/>
      <c r="B630" s="185" t="s">
        <v>198</v>
      </c>
      <c r="C630" s="183" t="s">
        <v>463</v>
      </c>
      <c r="D630" s="34"/>
      <c r="E630" s="379">
        <v>1.1688706849315069</v>
      </c>
      <c r="F630" s="429">
        <v>1.2296942622950819</v>
      </c>
    </row>
    <row r="631" spans="1:6" outlineLevel="1" x14ac:dyDescent="0.25">
      <c r="A631" s="426"/>
      <c r="B631" s="185" t="s">
        <v>199</v>
      </c>
      <c r="C631" s="183" t="s">
        <v>463</v>
      </c>
      <c r="D631" s="34"/>
      <c r="E631" s="379">
        <v>0.67147890410958921</v>
      </c>
      <c r="F631" s="429">
        <v>0.78735819672131158</v>
      </c>
    </row>
    <row r="632" spans="1:6" outlineLevel="1" x14ac:dyDescent="0.25">
      <c r="A632" s="426"/>
      <c r="B632" s="185" t="s">
        <v>200</v>
      </c>
      <c r="C632" s="183" t="s">
        <v>463</v>
      </c>
      <c r="D632" s="34"/>
      <c r="E632" s="379">
        <v>0.50568164383561642</v>
      </c>
      <c r="F632" s="429">
        <v>0.61927049180327876</v>
      </c>
    </row>
    <row r="633" spans="1:6" outlineLevel="1" x14ac:dyDescent="0.25">
      <c r="A633" s="426"/>
      <c r="B633" s="185" t="s">
        <v>201</v>
      </c>
      <c r="C633" s="183" t="s">
        <v>463</v>
      </c>
      <c r="D633" s="34"/>
      <c r="E633" s="379">
        <v>0.40620328767123287</v>
      </c>
      <c r="F633" s="429">
        <v>0.46887622950819674</v>
      </c>
    </row>
    <row r="634" spans="1:6" outlineLevel="1" x14ac:dyDescent="0.25">
      <c r="A634" s="426"/>
      <c r="B634" s="185" t="s">
        <v>202</v>
      </c>
      <c r="C634" s="183" t="s">
        <v>463</v>
      </c>
      <c r="D634" s="34"/>
      <c r="E634" s="379">
        <v>0.32330465753424659</v>
      </c>
      <c r="F634" s="429">
        <v>0.38040901639344266</v>
      </c>
    </row>
    <row r="635" spans="1:6" outlineLevel="1" x14ac:dyDescent="0.25">
      <c r="A635" s="426"/>
      <c r="B635" s="185" t="s">
        <v>203</v>
      </c>
      <c r="C635" s="183" t="s">
        <v>463</v>
      </c>
      <c r="D635" s="34"/>
      <c r="E635" s="379">
        <v>0.38133369863013705</v>
      </c>
      <c r="F635" s="429">
        <v>0.42464262295081973</v>
      </c>
    </row>
    <row r="636" spans="1:6" outlineLevel="1" x14ac:dyDescent="0.25">
      <c r="A636" s="426"/>
      <c r="B636" s="185" t="s">
        <v>204</v>
      </c>
      <c r="C636" s="183" t="s">
        <v>463</v>
      </c>
      <c r="D636" s="34"/>
      <c r="E636" s="379">
        <v>0.51397150684931514</v>
      </c>
      <c r="F636" s="429">
        <v>0.49541639344262306</v>
      </c>
    </row>
    <row r="637" spans="1:6" outlineLevel="1" x14ac:dyDescent="0.25">
      <c r="A637" s="426"/>
      <c r="B637" s="185" t="s">
        <v>205</v>
      </c>
      <c r="C637" s="183" t="s">
        <v>463</v>
      </c>
      <c r="D637" s="34"/>
      <c r="E637" s="379">
        <v>0.88701534246575353</v>
      </c>
      <c r="F637" s="429">
        <v>0.86697868852459037</v>
      </c>
    </row>
    <row r="638" spans="1:6" outlineLevel="1" x14ac:dyDescent="0.25">
      <c r="A638" s="426"/>
      <c r="B638" s="185" t="s">
        <v>206</v>
      </c>
      <c r="C638" s="183" t="s">
        <v>463</v>
      </c>
      <c r="D638" s="34"/>
      <c r="E638" s="379">
        <v>1.1191315068493153</v>
      </c>
      <c r="F638" s="429">
        <v>1.1323803278688525</v>
      </c>
    </row>
    <row r="639" spans="1:6" outlineLevel="1" x14ac:dyDescent="0.25">
      <c r="A639" s="430"/>
      <c r="B639" s="431" t="s">
        <v>207</v>
      </c>
      <c r="C639" s="417" t="s">
        <v>463</v>
      </c>
      <c r="D639" s="418"/>
      <c r="E639" s="432">
        <v>1.326378082191781</v>
      </c>
      <c r="F639" s="433">
        <v>1.4685557377049181</v>
      </c>
    </row>
    <row r="640" spans="1:6" outlineLevel="1" x14ac:dyDescent="0.25"/>
    <row r="641" spans="1:23" ht="15.75" outlineLevel="1" x14ac:dyDescent="0.25">
      <c r="A641" s="345" t="s">
        <v>51</v>
      </c>
      <c r="B641" s="434" t="s">
        <v>506</v>
      </c>
      <c r="C641" s="435"/>
      <c r="D641" s="435"/>
      <c r="E641" s="424">
        <v>2023</v>
      </c>
      <c r="F641" s="425">
        <v>2024</v>
      </c>
      <c r="R641" s="346"/>
      <c r="W641" s="108"/>
    </row>
    <row r="642" spans="1:23" outlineLevel="1" x14ac:dyDescent="0.25">
      <c r="B642" s="436" t="s">
        <v>457</v>
      </c>
      <c r="C642" s="7" t="s">
        <v>469</v>
      </c>
      <c r="D642" s="28"/>
      <c r="E642" s="250">
        <f>SUM(E647:E658)</f>
        <v>365</v>
      </c>
      <c r="F642" s="437">
        <f t="shared" ref="F642" si="89">SUM(F647:F658)</f>
        <v>366</v>
      </c>
      <c r="R642" s="346"/>
    </row>
    <row r="643" spans="1:23" outlineLevel="1" x14ac:dyDescent="0.25">
      <c r="B643" s="438" t="s">
        <v>448</v>
      </c>
      <c r="C643" s="7" t="s">
        <v>469</v>
      </c>
      <c r="D643" s="28"/>
      <c r="E643" s="250">
        <f>SUM(E647:E649)</f>
        <v>90</v>
      </c>
      <c r="F643" s="437">
        <f>SUM(F647:F649)</f>
        <v>91</v>
      </c>
      <c r="R643" s="346"/>
    </row>
    <row r="644" spans="1:23" outlineLevel="1" x14ac:dyDescent="0.25">
      <c r="B644" s="438" t="s">
        <v>449</v>
      </c>
      <c r="C644" s="7" t="s">
        <v>469</v>
      </c>
      <c r="D644" s="28"/>
      <c r="E644" s="250">
        <f>SUM(E650:E652)</f>
        <v>91</v>
      </c>
      <c r="F644" s="437">
        <f t="shared" ref="F644" si="90">SUM(F650:F652)</f>
        <v>91</v>
      </c>
    </row>
    <row r="645" spans="1:23" outlineLevel="1" x14ac:dyDescent="0.25">
      <c r="B645" s="438" t="s">
        <v>450</v>
      </c>
      <c r="C645" s="7" t="s">
        <v>469</v>
      </c>
      <c r="D645" s="28"/>
      <c r="E645" s="250">
        <f>SUM(E653:E655)</f>
        <v>92</v>
      </c>
      <c r="F645" s="437">
        <f t="shared" ref="F645" si="91">SUM(F653:F655)</f>
        <v>92</v>
      </c>
    </row>
    <row r="646" spans="1:23" outlineLevel="1" x14ac:dyDescent="0.25">
      <c r="B646" s="438" t="s">
        <v>451</v>
      </c>
      <c r="C646" s="7" t="s">
        <v>469</v>
      </c>
      <c r="D646" s="28"/>
      <c r="E646" s="250">
        <f>SUM(E656:E658)</f>
        <v>92</v>
      </c>
      <c r="F646" s="437">
        <f t="shared" ref="F646" si="92">SUM(F656:F658)</f>
        <v>92</v>
      </c>
    </row>
    <row r="647" spans="1:23" outlineLevel="1" x14ac:dyDescent="0.25">
      <c r="B647" s="438" t="s">
        <v>196</v>
      </c>
      <c r="C647" s="7" t="s">
        <v>469</v>
      </c>
      <c r="D647" s="28"/>
      <c r="E647" s="315">
        <f>'Annex 2. Ms, SFs, Short term '!H11</f>
        <v>31</v>
      </c>
      <c r="F647" s="439">
        <f>'Annex 2. Ms, SFs, Short term '!H12</f>
        <v>31</v>
      </c>
    </row>
    <row r="648" spans="1:23" outlineLevel="1" x14ac:dyDescent="0.25">
      <c r="B648" s="438" t="s">
        <v>197</v>
      </c>
      <c r="C648" s="7" t="s">
        <v>469</v>
      </c>
      <c r="D648" s="28"/>
      <c r="E648" s="315">
        <f>'Annex 2. Ms, SFs, Short term '!I11</f>
        <v>28</v>
      </c>
      <c r="F648" s="439">
        <f>'Annex 2. Ms, SFs, Short term '!I12</f>
        <v>29</v>
      </c>
    </row>
    <row r="649" spans="1:23" outlineLevel="1" x14ac:dyDescent="0.25">
      <c r="B649" s="438" t="s">
        <v>198</v>
      </c>
      <c r="C649" s="7" t="s">
        <v>469</v>
      </c>
      <c r="D649" s="28"/>
      <c r="E649" s="315">
        <f>'Annex 2. Ms, SFs, Short term '!J11</f>
        <v>31</v>
      </c>
      <c r="F649" s="439">
        <f>'Annex 2. Ms, SFs, Short term '!J12</f>
        <v>31</v>
      </c>
    </row>
    <row r="650" spans="1:23" outlineLevel="1" x14ac:dyDescent="0.25">
      <c r="B650" s="438" t="s">
        <v>199</v>
      </c>
      <c r="C650" s="7" t="s">
        <v>469</v>
      </c>
      <c r="D650" s="28"/>
      <c r="E650" s="315">
        <f>'Annex 2. Ms, SFs, Short term '!K11</f>
        <v>30</v>
      </c>
      <c r="F650" s="439">
        <f>'Annex 2. Ms, SFs, Short term '!K12</f>
        <v>30</v>
      </c>
    </row>
    <row r="651" spans="1:23" outlineLevel="1" x14ac:dyDescent="0.25">
      <c r="B651" s="438" t="s">
        <v>200</v>
      </c>
      <c r="C651" s="7" t="s">
        <v>469</v>
      </c>
      <c r="D651" s="28"/>
      <c r="E651" s="315">
        <f>'Annex 2. Ms, SFs, Short term '!L11</f>
        <v>31</v>
      </c>
      <c r="F651" s="439">
        <f>'Annex 2. Ms, SFs, Short term '!L12</f>
        <v>31</v>
      </c>
    </row>
    <row r="652" spans="1:23" outlineLevel="1" x14ac:dyDescent="0.25">
      <c r="B652" s="438" t="s">
        <v>201</v>
      </c>
      <c r="C652" s="7" t="s">
        <v>469</v>
      </c>
      <c r="D652" s="28"/>
      <c r="E652" s="315">
        <f>'Annex 2. Ms, SFs, Short term '!M11</f>
        <v>30</v>
      </c>
      <c r="F652" s="439">
        <f>'Annex 2. Ms, SFs, Short term '!M12</f>
        <v>30</v>
      </c>
    </row>
    <row r="653" spans="1:23" outlineLevel="1" x14ac:dyDescent="0.25">
      <c r="B653" s="438" t="s">
        <v>202</v>
      </c>
      <c r="C653" s="7" t="s">
        <v>469</v>
      </c>
      <c r="D653" s="28"/>
      <c r="E653" s="315">
        <f>'Annex 2. Ms, SFs, Short term '!N11</f>
        <v>31</v>
      </c>
      <c r="F653" s="439">
        <f>'Annex 2. Ms, SFs, Short term '!N12</f>
        <v>31</v>
      </c>
    </row>
    <row r="654" spans="1:23" outlineLevel="1" x14ac:dyDescent="0.25">
      <c r="B654" s="438" t="s">
        <v>203</v>
      </c>
      <c r="C654" s="7" t="s">
        <v>469</v>
      </c>
      <c r="D654" s="28"/>
      <c r="E654" s="315">
        <f>'Annex 2. Ms, SFs, Short term '!O11</f>
        <v>31</v>
      </c>
      <c r="F654" s="439">
        <f>'Annex 2. Ms, SFs, Short term '!O12</f>
        <v>31</v>
      </c>
    </row>
    <row r="655" spans="1:23" outlineLevel="1" x14ac:dyDescent="0.25">
      <c r="B655" s="438" t="s">
        <v>204</v>
      </c>
      <c r="C655" s="7" t="s">
        <v>469</v>
      </c>
      <c r="D655" s="28"/>
      <c r="E655" s="315">
        <f>'Annex 2. Ms, SFs, Short term '!P11</f>
        <v>30</v>
      </c>
      <c r="F655" s="439">
        <f>'Annex 2. Ms, SFs, Short term '!P12</f>
        <v>30</v>
      </c>
    </row>
    <row r="656" spans="1:23" outlineLevel="1" x14ac:dyDescent="0.25">
      <c r="B656" s="438" t="s">
        <v>205</v>
      </c>
      <c r="C656" s="7" t="s">
        <v>469</v>
      </c>
      <c r="D656" s="28"/>
      <c r="E656" s="315">
        <f>'Annex 2. Ms, SFs, Short term '!Q11</f>
        <v>31</v>
      </c>
      <c r="F656" s="439">
        <f>'Annex 2. Ms, SFs, Short term '!Q12</f>
        <v>31</v>
      </c>
    </row>
    <row r="657" spans="2:14" outlineLevel="1" x14ac:dyDescent="0.25">
      <c r="B657" s="438" t="s">
        <v>206</v>
      </c>
      <c r="C657" s="7" t="s">
        <v>469</v>
      </c>
      <c r="D657" s="28"/>
      <c r="E657" s="315">
        <f>'Annex 2. Ms, SFs, Short term '!R11</f>
        <v>30</v>
      </c>
      <c r="F657" s="439">
        <f>'Annex 2. Ms, SFs, Short term '!R12</f>
        <v>30</v>
      </c>
    </row>
    <row r="658" spans="2:14" outlineLevel="1" x14ac:dyDescent="0.25">
      <c r="B658" s="440" t="s">
        <v>207</v>
      </c>
      <c r="C658" s="441" t="s">
        <v>469</v>
      </c>
      <c r="D658" s="442"/>
      <c r="E658" s="443">
        <f>'Annex 2. Ms, SFs, Short term '!S11</f>
        <v>31</v>
      </c>
      <c r="F658" s="444">
        <f>'Annex 2. Ms, SFs, Short term '!S12</f>
        <v>31</v>
      </c>
    </row>
    <row r="660" spans="2:14" ht="15.75" outlineLevel="1" x14ac:dyDescent="0.25">
      <c r="B660" s="594" t="s">
        <v>14</v>
      </c>
      <c r="C660" s="594"/>
      <c r="D660" s="594"/>
      <c r="E660" s="424">
        <v>2023</v>
      </c>
      <c r="F660" s="425">
        <v>2024</v>
      </c>
    </row>
    <row r="661" spans="2:14" ht="15.75" outlineLevel="1" thickBot="1" x14ac:dyDescent="0.3">
      <c r="B661" s="88" t="s">
        <v>15</v>
      </c>
      <c r="C661" s="89"/>
      <c r="D661" s="90"/>
      <c r="E661" s="90"/>
      <c r="F661" s="94"/>
      <c r="G661" s="4"/>
    </row>
    <row r="662" spans="2:14" ht="15.75" outlineLevel="1" thickTop="1" x14ac:dyDescent="0.25">
      <c r="B662" s="267" t="s">
        <v>16</v>
      </c>
      <c r="C662" s="268"/>
      <c r="D662" s="246"/>
      <c r="E662" s="269">
        <f>E664+E703</f>
        <v>64167.108772306332</v>
      </c>
      <c r="F662" s="269">
        <f>F664+F703</f>
        <v>67011.290329747571</v>
      </c>
      <c r="G662" s="4"/>
      <c r="J662" s="101"/>
    </row>
    <row r="663" spans="2:14" outlineLevel="1" x14ac:dyDescent="0.25">
      <c r="B663" s="247"/>
      <c r="C663" s="454" t="s">
        <v>152</v>
      </c>
      <c r="D663" s="248"/>
      <c r="E663" s="453">
        <f>+E662-E11</f>
        <v>0.10877230633923318</v>
      </c>
      <c r="F663" s="453">
        <f>+F662-F11</f>
        <v>0.290329747585929</v>
      </c>
    </row>
    <row r="664" spans="2:14" outlineLevel="1" x14ac:dyDescent="0.25">
      <c r="B664" s="270" t="s">
        <v>17</v>
      </c>
      <c r="C664" s="220"/>
      <c r="D664" s="28"/>
      <c r="E664" s="271">
        <f>IF(E697="N/A",E665,E665+E697)</f>
        <v>55367.995020268376</v>
      </c>
      <c r="F664" s="271">
        <f>IF(F697="N/A",F665,F665+F697)</f>
        <v>60497.612611208388</v>
      </c>
      <c r="I664" s="4"/>
      <c r="J664" s="4"/>
    </row>
    <row r="665" spans="2:14" outlineLevel="1" x14ac:dyDescent="0.25">
      <c r="B665" s="270" t="s">
        <v>18</v>
      </c>
      <c r="C665" s="220"/>
      <c r="D665" s="28"/>
      <c r="E665" s="271">
        <f>E666+E681</f>
        <v>49239.598982555784</v>
      </c>
      <c r="F665" s="271">
        <f>F666+F681</f>
        <v>49002.359753315308</v>
      </c>
      <c r="I665" s="4"/>
      <c r="J665" s="4"/>
    </row>
    <row r="666" spans="2:14" outlineLevel="1" x14ac:dyDescent="0.25">
      <c r="B666" s="270" t="s">
        <v>19</v>
      </c>
      <c r="C666" s="220"/>
      <c r="D666" s="28"/>
      <c r="E666" s="272">
        <f>E667+E674</f>
        <v>19281.070056686003</v>
      </c>
      <c r="F666" s="272">
        <f>F667+F674</f>
        <v>16541.802066995864</v>
      </c>
      <c r="I666" s="4"/>
      <c r="J666" s="4"/>
    </row>
    <row r="667" spans="2:14" outlineLevel="1" x14ac:dyDescent="0.25">
      <c r="B667" s="258" t="s">
        <v>20</v>
      </c>
      <c r="C667" s="184"/>
      <c r="D667" s="248"/>
      <c r="E667" s="262">
        <f>SUM(E668:E673)</f>
        <v>6639.4619999999995</v>
      </c>
      <c r="F667" s="262">
        <f>SUM(F668:F673)</f>
        <v>5689.2640375491374</v>
      </c>
      <c r="L667" s="4"/>
      <c r="M667" s="4"/>
      <c r="N667" s="101"/>
    </row>
    <row r="668" spans="2:14" outlineLevel="1" x14ac:dyDescent="0.25">
      <c r="B668" s="259" t="s">
        <v>82</v>
      </c>
      <c r="C668" s="183" t="s">
        <v>1</v>
      </c>
      <c r="D668" s="248"/>
      <c r="E668" s="263">
        <f>+E271*E120/1000</f>
        <v>0</v>
      </c>
      <c r="F668" s="263">
        <f>+F271*F120/1000</f>
        <v>0</v>
      </c>
      <c r="I668" s="4"/>
      <c r="J668" s="4"/>
      <c r="K668" s="103"/>
      <c r="L668" s="4"/>
      <c r="M668" s="4"/>
      <c r="N668" s="101"/>
    </row>
    <row r="669" spans="2:14" outlineLevel="1" x14ac:dyDescent="0.25">
      <c r="B669" s="259" t="s">
        <v>28</v>
      </c>
      <c r="C669" s="183" t="s">
        <v>1</v>
      </c>
      <c r="D669" s="248"/>
      <c r="E669" s="263">
        <f>+E276*E123/1000</f>
        <v>0</v>
      </c>
      <c r="F669" s="263">
        <f>+F276*F123/1000</f>
        <v>0</v>
      </c>
      <c r="I669" s="4"/>
      <c r="J669" s="4"/>
      <c r="K669" s="103"/>
      <c r="L669" s="4"/>
      <c r="M669" s="4"/>
      <c r="N669" s="101"/>
    </row>
    <row r="670" spans="2:14" outlineLevel="1" x14ac:dyDescent="0.25">
      <c r="B670" s="260" t="s">
        <v>13</v>
      </c>
      <c r="C670" s="183" t="s">
        <v>1</v>
      </c>
      <c r="D670" s="248"/>
      <c r="E670" s="263">
        <f>+E100*E122/1000</f>
        <v>3926.8319999999999</v>
      </c>
      <c r="F670" s="263">
        <f>+F100*F122/1000</f>
        <v>3926.8319999999999</v>
      </c>
      <c r="I670" s="4"/>
      <c r="J670" s="4"/>
      <c r="K670" s="103"/>
      <c r="L670" s="4"/>
      <c r="M670" s="4"/>
      <c r="N670" s="101"/>
    </row>
    <row r="671" spans="2:14" outlineLevel="1" x14ac:dyDescent="0.25">
      <c r="B671" s="260" t="s">
        <v>507</v>
      </c>
      <c r="C671" s="183" t="s">
        <v>1</v>
      </c>
      <c r="D671" s="248"/>
      <c r="E671" s="263">
        <v>0</v>
      </c>
      <c r="F671" s="263">
        <v>0</v>
      </c>
      <c r="J671" s="4"/>
      <c r="K671" s="112"/>
      <c r="L671" s="4"/>
      <c r="M671" s="4"/>
      <c r="N671" s="101"/>
    </row>
    <row r="672" spans="2:14" outlineLevel="1" x14ac:dyDescent="0.25">
      <c r="B672" s="260" t="s">
        <v>7</v>
      </c>
      <c r="C672" s="183" t="s">
        <v>1</v>
      </c>
      <c r="D672" s="248"/>
      <c r="E672" s="263">
        <f>+E286*E124/1000</f>
        <v>713.84999999999991</v>
      </c>
      <c r="F672" s="263">
        <f>+F286*F124/1000</f>
        <v>1401.6917140066764</v>
      </c>
      <c r="J672" s="4"/>
      <c r="K672" s="112"/>
    </row>
    <row r="673" spans="2:14" outlineLevel="1" x14ac:dyDescent="0.25">
      <c r="B673" s="260" t="s">
        <v>83</v>
      </c>
      <c r="C673" s="183" t="s">
        <v>1</v>
      </c>
      <c r="D673" s="248"/>
      <c r="E673" s="263">
        <f>+E281*E125/1000</f>
        <v>1998.7799999999997</v>
      </c>
      <c r="F673" s="263">
        <f>+F281*F125/1000</f>
        <v>360.74032354246037</v>
      </c>
      <c r="J673" s="4"/>
      <c r="K673" s="112"/>
    </row>
    <row r="674" spans="2:14" outlineLevel="1" collapsed="1" x14ac:dyDescent="0.25">
      <c r="B674" s="258" t="s">
        <v>21</v>
      </c>
      <c r="C674" s="184"/>
      <c r="D674" s="248"/>
      <c r="E674" s="262">
        <f>SUM(E675:E678)</f>
        <v>12641.608056686004</v>
      </c>
      <c r="F674" s="262">
        <f>SUM(F675:F678)</f>
        <v>10852.538029446725</v>
      </c>
      <c r="J674" s="4"/>
      <c r="K674" s="112"/>
      <c r="L674" s="4"/>
      <c r="M674" s="4"/>
      <c r="N674" s="101"/>
    </row>
    <row r="675" spans="2:14" outlineLevel="1" x14ac:dyDescent="0.25">
      <c r="B675" s="260" t="s">
        <v>8</v>
      </c>
      <c r="C675" s="183" t="s">
        <v>1</v>
      </c>
      <c r="D675" s="248"/>
      <c r="E675" s="263">
        <f>+E291*E126/1000</f>
        <v>0</v>
      </c>
      <c r="F675" s="263">
        <f>+F291*F126/1000</f>
        <v>330.10386288700317</v>
      </c>
      <c r="J675" s="4"/>
      <c r="K675" s="112"/>
      <c r="L675" s="4"/>
      <c r="M675" s="4"/>
      <c r="N675" s="101"/>
    </row>
    <row r="676" spans="2:14" outlineLevel="1" x14ac:dyDescent="0.25">
      <c r="B676" s="260" t="s">
        <v>9</v>
      </c>
      <c r="C676" s="183" t="s">
        <v>1</v>
      </c>
      <c r="D676" s="248"/>
      <c r="E676" s="263">
        <f>+E100*E127/1000</f>
        <v>5099.5652111306326</v>
      </c>
      <c r="F676" s="263">
        <f>+F100*F127/1000</f>
        <v>4428.294094462728</v>
      </c>
      <c r="J676" s="4"/>
      <c r="K676" s="112"/>
      <c r="L676" s="4"/>
      <c r="M676" s="4"/>
      <c r="N676" s="101"/>
    </row>
    <row r="677" spans="2:14" outlineLevel="1" x14ac:dyDescent="0.25">
      <c r="B677" s="260" t="s">
        <v>84</v>
      </c>
      <c r="C677" s="183" t="s">
        <v>1</v>
      </c>
      <c r="D677" s="248"/>
      <c r="E677" s="263">
        <f>+E296*E128/1000</f>
        <v>2799.783874994127</v>
      </c>
      <c r="F677" s="263">
        <f>+F296*F128/1000</f>
        <v>155.132432749126</v>
      </c>
      <c r="J677" s="103"/>
      <c r="K677" s="112"/>
      <c r="N677" s="101"/>
    </row>
    <row r="678" spans="2:14" outlineLevel="1" x14ac:dyDescent="0.25">
      <c r="B678" s="260" t="s">
        <v>151</v>
      </c>
      <c r="C678" s="183" t="s">
        <v>1</v>
      </c>
      <c r="D678" s="248"/>
      <c r="E678" s="264">
        <f>+E679+E680</f>
        <v>4742.2589705612445</v>
      </c>
      <c r="F678" s="264">
        <f>F679+F680</f>
        <v>5939.0076393478685</v>
      </c>
      <c r="J678" s="4"/>
      <c r="K678" s="112"/>
    </row>
    <row r="679" spans="2:14" outlineLevel="1" x14ac:dyDescent="0.25">
      <c r="B679" s="261" t="s">
        <v>10</v>
      </c>
      <c r="C679" s="183" t="s">
        <v>1</v>
      </c>
      <c r="D679" s="249"/>
      <c r="E679" s="452">
        <f>+E302*E132/1000</f>
        <v>2794.6098439739453</v>
      </c>
      <c r="F679" s="452">
        <f>+F302*F132/1000</f>
        <v>2987.1507269869785</v>
      </c>
      <c r="J679" s="4"/>
      <c r="K679" s="112"/>
    </row>
    <row r="680" spans="2:14" outlineLevel="1" x14ac:dyDescent="0.25">
      <c r="B680" s="261" t="s">
        <v>155</v>
      </c>
      <c r="C680" s="183" t="s">
        <v>1</v>
      </c>
      <c r="D680" s="249"/>
      <c r="E680" s="452">
        <f>+E303*E133/1000</f>
        <v>1947.6491265872996</v>
      </c>
      <c r="F680" s="452">
        <f>+F303*F133/1000</f>
        <v>2951.8569123608904</v>
      </c>
      <c r="J680" s="4"/>
      <c r="K680" s="112"/>
    </row>
    <row r="681" spans="2:14" outlineLevel="1" x14ac:dyDescent="0.25">
      <c r="B681" s="270" t="s">
        <v>22</v>
      </c>
      <c r="C681" s="273"/>
      <c r="D681" s="248"/>
      <c r="E681" s="274">
        <f>E682+E689</f>
        <v>29958.528925869781</v>
      </c>
      <c r="F681" s="274">
        <f>F682+F689</f>
        <v>32460.557686319444</v>
      </c>
      <c r="K681" s="112"/>
    </row>
    <row r="682" spans="2:14" outlineLevel="1" x14ac:dyDescent="0.25">
      <c r="B682" s="258" t="s">
        <v>20</v>
      </c>
      <c r="C682" s="184"/>
      <c r="D682" s="248"/>
      <c r="E682" s="265">
        <f>SUM(E683:E688)</f>
        <v>20185.835760998118</v>
      </c>
      <c r="F682" s="265">
        <f>SUM(F683:F688)</f>
        <v>20240.29793320044</v>
      </c>
      <c r="J682" s="103"/>
      <c r="K682" s="112"/>
    </row>
    <row r="683" spans="2:14" outlineLevel="1" x14ac:dyDescent="0.25">
      <c r="B683" s="259" t="s">
        <v>82</v>
      </c>
      <c r="C683" s="183" t="s">
        <v>1</v>
      </c>
      <c r="D683" s="248"/>
      <c r="E683" s="263">
        <v>0</v>
      </c>
      <c r="F683" s="263">
        <v>0</v>
      </c>
      <c r="K683" s="112"/>
    </row>
    <row r="684" spans="2:14" outlineLevel="1" x14ac:dyDescent="0.25">
      <c r="B684" s="259" t="s">
        <v>6</v>
      </c>
      <c r="C684" s="183" t="s">
        <v>1</v>
      </c>
      <c r="D684" s="248"/>
      <c r="E684" s="263" cm="1">
        <f t="array" ref="E684">+SUM(E277*_xlfn.ANCHORARRAY(E385))/1000+SUM(E278*_xlfn.ANCHORARRAY(E390))/1000+E279*E642*E403/1000</f>
        <v>2217.7338432026959</v>
      </c>
      <c r="F684" s="263" cm="1">
        <f t="array" ref="F684">+SUM(F277*_xlfn.ANCHORARRAY(F385))/1000+SUM(F278*_xlfn.ANCHORARRAY(F390))/1000+F279*F642*F403/1000</f>
        <v>1658.6076367956964</v>
      </c>
    </row>
    <row r="685" spans="2:14" outlineLevel="1" x14ac:dyDescent="0.25">
      <c r="B685" s="260" t="s">
        <v>13</v>
      </c>
      <c r="C685" s="183" t="s">
        <v>1</v>
      </c>
      <c r="D685" s="248"/>
      <c r="E685" s="263">
        <v>0</v>
      </c>
      <c r="F685" s="263">
        <v>0</v>
      </c>
    </row>
    <row r="686" spans="2:14" outlineLevel="1" x14ac:dyDescent="0.25">
      <c r="B686" s="260" t="s">
        <v>507</v>
      </c>
      <c r="C686" s="183"/>
      <c r="D686" s="248"/>
      <c r="E686" s="263">
        <v>0</v>
      </c>
      <c r="F686" s="263">
        <v>0</v>
      </c>
    </row>
    <row r="687" spans="2:14" outlineLevel="1" x14ac:dyDescent="0.25">
      <c r="B687" s="260" t="s">
        <v>7</v>
      </c>
      <c r="C687" s="183" t="s">
        <v>1</v>
      </c>
      <c r="D687" s="248"/>
      <c r="E687" s="263">
        <f t="array" ref="E687">+SUM(E287*_xlfn.ANCHORARRAY(E475))/1000+SUM(E288*_xlfn.ANCHORARRAY(E480))/1000+E289*E642*E493/1000</f>
        <v>16619.649046562547</v>
      </c>
      <c r="F687" s="263">
        <f t="array" ref="F687">+SUM(F287*_xlfn.ANCHORARRAY(F475))/1000+SUM(F288*_xlfn.ANCHORARRAY(F480))/1000+F289*F642*F493/1000</f>
        <v>16638.220399740239</v>
      </c>
    </row>
    <row r="688" spans="2:14" outlineLevel="1" x14ac:dyDescent="0.25">
      <c r="B688" s="260" t="s">
        <v>83</v>
      </c>
      <c r="C688" s="183" t="s">
        <v>1</v>
      </c>
      <c r="D688" s="248"/>
      <c r="E688" s="263">
        <f t="array" ref="E688">+SUM(E282*_xlfn.ANCHORARRAY(E430))/1000+SUM(E283*_xlfn.ANCHORARRAY(E435))/1000+E284*E642*E448/1000</f>
        <v>1348.4528712328772</v>
      </c>
      <c r="F688" s="263">
        <f t="array" ref="F688">+SUM(F282*_xlfn.ANCHORARRAY(F430))/1000+SUM(F283*_xlfn.ANCHORARRAY(F435))/1000+F284*F642*F448/1000</f>
        <v>1943.4698966645065</v>
      </c>
    </row>
    <row r="689" spans="2:8" outlineLevel="1" x14ac:dyDescent="0.25">
      <c r="B689" s="258" t="s">
        <v>21</v>
      </c>
      <c r="C689" s="183"/>
      <c r="D689" s="248"/>
      <c r="E689" s="262">
        <f>+SUM(E690:E693)</f>
        <v>9772.6931648716636</v>
      </c>
      <c r="F689" s="262">
        <f>+SUM(F690:F693)</f>
        <v>12220.259753119004</v>
      </c>
      <c r="H689" s="4"/>
    </row>
    <row r="690" spans="2:8" outlineLevel="1" x14ac:dyDescent="0.25">
      <c r="B690" s="260" t="s">
        <v>8</v>
      </c>
      <c r="C690" s="183" t="s">
        <v>1</v>
      </c>
      <c r="D690" s="248"/>
      <c r="E690" s="263" cm="1">
        <f t="array" ref="E690">+SUM(E292*_xlfn.ANCHORARRAY(E520))/1000+SUM(E293*_xlfn.ANCHORARRAY(E525))/1000+E294*E642*E538/1000</f>
        <v>4637.875894365593</v>
      </c>
      <c r="F690" s="263">
        <f t="array" ref="F690">+SUM(F292*_xlfn.ANCHORARRAY(F520))/1000+SUM(F293*_xlfn.ANCHORARRAY(F525))/1000+F294*F642*F538/1000</f>
        <v>2987.97044084858</v>
      </c>
    </row>
    <row r="691" spans="2:8" outlineLevel="1" x14ac:dyDescent="0.25">
      <c r="B691" s="260" t="s">
        <v>9</v>
      </c>
      <c r="C691" s="183" t="s">
        <v>1</v>
      </c>
      <c r="D691" s="248"/>
      <c r="E691" s="263">
        <v>0</v>
      </c>
      <c r="F691" s="263">
        <v>0</v>
      </c>
      <c r="H691" s="4"/>
    </row>
    <row r="692" spans="2:8" outlineLevel="1" x14ac:dyDescent="0.25">
      <c r="B692" s="260" t="s">
        <v>84</v>
      </c>
      <c r="C692" s="183" t="s">
        <v>1</v>
      </c>
      <c r="D692" s="248"/>
      <c r="E692" s="263" cm="1">
        <f t="array" ref="E692">+SUM(E297*_xlfn.ANCHORARRAY(E565))/1000+SUM(E298*_xlfn.ANCHORARRAY(E570))/1000+E299*E642*E583/1000</f>
        <v>1917.506860273973</v>
      </c>
      <c r="F692" s="263" cm="1">
        <f t="array" ref="F692">+SUM(F297*_xlfn.ANCHORARRAY(F565))/1000+SUM(F298*_xlfn.ANCHORARRAY(F570))/1000+F299*F642*F583/1000</f>
        <v>5333.4520505962073</v>
      </c>
      <c r="H692" s="4"/>
    </row>
    <row r="693" spans="2:8" outlineLevel="1" x14ac:dyDescent="0.25">
      <c r="B693" s="260" t="s">
        <v>23</v>
      </c>
      <c r="C693" s="183" t="s">
        <v>1</v>
      </c>
      <c r="D693" s="248"/>
      <c r="E693" s="263">
        <f>E694+E695</f>
        <v>3217.3104102320985</v>
      </c>
      <c r="F693" s="263">
        <f>F694+F695</f>
        <v>3898.8372616742163</v>
      </c>
    </row>
    <row r="694" spans="2:8" outlineLevel="1" x14ac:dyDescent="0.25">
      <c r="B694" s="261" t="s">
        <v>10</v>
      </c>
      <c r="C694" s="183" t="s">
        <v>1</v>
      </c>
      <c r="D694" s="249"/>
      <c r="E694" s="452" cm="1">
        <f t="array" ref="E694">+SUM(E305:E308*$E$642/E643:E646*_xlfn.ANCHORARRAY(E610))/1000+SUM(E310:E321*$E$642/E647:E658*_xlfn.ANCHORARRAY(E615))/1000+SUM(E323:E334*$E$642*_xlfn.ANCHORARRAY(E628))/1000</f>
        <v>3217.3104102320985</v>
      </c>
      <c r="F694" s="452" cm="1">
        <f t="array" ref="F694">+SUM(F305:F308*$F$642/F643:F646*_xlfn.ANCHORARRAY(F610))/1000+SUM(F310:F321*$F$642/F647:F658*_xlfn.ANCHORARRAY(F615))/1000+SUM(F323:F334*$F$642*_xlfn.ANCHORARRAY(F628))/1000</f>
        <v>3898.8372616742163</v>
      </c>
    </row>
    <row r="695" spans="2:8" outlineLevel="1" x14ac:dyDescent="0.25">
      <c r="B695" s="261" t="s">
        <v>155</v>
      </c>
      <c r="C695" s="183" t="s">
        <v>1</v>
      </c>
      <c r="D695" s="249"/>
      <c r="E695" s="452">
        <v>0</v>
      </c>
      <c r="F695" s="452">
        <v>0</v>
      </c>
    </row>
    <row r="696" spans="2:8" outlineLevel="1" x14ac:dyDescent="0.25">
      <c r="B696" s="270" t="s">
        <v>27</v>
      </c>
      <c r="C696" s="220"/>
      <c r="D696" s="28"/>
      <c r="E696" s="275"/>
      <c r="F696" s="275"/>
    </row>
    <row r="697" spans="2:8" outlineLevel="1" x14ac:dyDescent="0.25">
      <c r="B697" s="260" t="s">
        <v>24</v>
      </c>
      <c r="C697" s="183" t="s">
        <v>1</v>
      </c>
      <c r="D697" s="28"/>
      <c r="E697" s="266">
        <f>+SUM(E698:E702)</f>
        <v>6128.3960377125914</v>
      </c>
      <c r="F697" s="266">
        <f>+SUM(F698:F702)</f>
        <v>11495.252857893076</v>
      </c>
    </row>
    <row r="698" spans="2:8" outlineLevel="1" x14ac:dyDescent="0.25">
      <c r="B698" s="261" t="s">
        <v>8</v>
      </c>
      <c r="C698" s="183" t="s">
        <v>1</v>
      </c>
      <c r="D698" s="28"/>
      <c r="E698" s="263">
        <f>E136*E107/1000</f>
        <v>889.83572532128733</v>
      </c>
      <c r="F698" s="263">
        <f>F136*F107/1000</f>
        <v>1336.5462800466646</v>
      </c>
    </row>
    <row r="699" spans="2:8" outlineLevel="1" x14ac:dyDescent="0.25">
      <c r="B699" s="261" t="s">
        <v>84</v>
      </c>
      <c r="C699" s="183" t="s">
        <v>1</v>
      </c>
      <c r="D699" s="28"/>
      <c r="E699" s="263">
        <f>E140*E110/1000</f>
        <v>739.14989206233338</v>
      </c>
      <c r="F699" s="263">
        <f>F140*F110/1000</f>
        <v>1991.6337834963006</v>
      </c>
    </row>
    <row r="700" spans="2:8" outlineLevel="1" x14ac:dyDescent="0.25">
      <c r="B700" s="261" t="s">
        <v>10</v>
      </c>
      <c r="C700" s="183" t="s">
        <v>1</v>
      </c>
      <c r="D700" s="28"/>
      <c r="E700" s="263">
        <f>+E115*E138/1000</f>
        <v>897.57955459710593</v>
      </c>
      <c r="F700" s="263">
        <f>+F115*F138/1000</f>
        <v>1756.8580557878099</v>
      </c>
    </row>
    <row r="701" spans="2:8" outlineLevel="1" x14ac:dyDescent="0.25">
      <c r="B701" s="261" t="s">
        <v>155</v>
      </c>
      <c r="C701" s="183" t="s">
        <v>1</v>
      </c>
      <c r="D701" s="28"/>
      <c r="E701" s="263">
        <f>+E116*E139/1000</f>
        <v>1185.4700752222047</v>
      </c>
      <c r="F701" s="263">
        <f>+F116*F139/1000</f>
        <v>1897.2013254177177</v>
      </c>
    </row>
    <row r="702" spans="2:8" ht="15.75" outlineLevel="1" thickBot="1" x14ac:dyDescent="0.3">
      <c r="B702" s="261" t="s">
        <v>9</v>
      </c>
      <c r="C702" s="183" t="s">
        <v>1</v>
      </c>
      <c r="D702" s="28"/>
      <c r="E702" s="263">
        <f>+E109*E137/1000</f>
        <v>2416.3607905096601</v>
      </c>
      <c r="F702" s="263">
        <f>+F109*F137/1000</f>
        <v>4513.013413144582</v>
      </c>
    </row>
    <row r="703" spans="2:8" ht="15.75" outlineLevel="1" collapsed="1" thickTop="1" x14ac:dyDescent="0.25">
      <c r="B703" s="267" t="s">
        <v>25</v>
      </c>
      <c r="C703" s="276" t="s">
        <v>1</v>
      </c>
      <c r="D703" s="246"/>
      <c r="E703" s="277">
        <f>+E704</f>
        <v>8799.113752037958</v>
      </c>
      <c r="F703" s="277">
        <f>+F704</f>
        <v>6513.6777185391893</v>
      </c>
    </row>
    <row r="704" spans="2:8" outlineLevel="1" x14ac:dyDescent="0.25">
      <c r="B704" s="260" t="s">
        <v>26</v>
      </c>
      <c r="C704" s="183" t="s">
        <v>1</v>
      </c>
      <c r="D704" s="249"/>
      <c r="E704" s="263">
        <f>E705+E706</f>
        <v>8799.113752037958</v>
      </c>
      <c r="F704" s="263">
        <f>F705+F706</f>
        <v>6513.6777185391893</v>
      </c>
    </row>
    <row r="705" spans="2:8" outlineLevel="1" x14ac:dyDescent="0.25">
      <c r="B705" s="261" t="s">
        <v>311</v>
      </c>
      <c r="C705" s="183" t="s">
        <v>1</v>
      </c>
      <c r="D705" s="249"/>
      <c r="E705" s="263">
        <f>+E112*E143/1000</f>
        <v>8294.475366570583</v>
      </c>
      <c r="F705" s="263">
        <f>+F112*F143/1000</f>
        <v>6152.8574589005093</v>
      </c>
    </row>
    <row r="706" spans="2:8" ht="15.75" outlineLevel="1" thickBot="1" x14ac:dyDescent="0.3">
      <c r="B706" s="261" t="s">
        <v>85</v>
      </c>
      <c r="C706" s="183" t="s">
        <v>1</v>
      </c>
      <c r="D706" s="249"/>
      <c r="E706" s="264">
        <f>+E113*E144/1000</f>
        <v>504.63838546737412</v>
      </c>
      <c r="F706" s="264">
        <f>+F113*F144/1000</f>
        <v>360.82025963868045</v>
      </c>
    </row>
    <row r="707" spans="2:8" ht="14.45" customHeight="1" outlineLevel="1" x14ac:dyDescent="0.25">
      <c r="B707" s="455" t="s">
        <v>153</v>
      </c>
      <c r="C707" s="456" t="s">
        <v>1</v>
      </c>
      <c r="D707" s="457"/>
      <c r="E707" s="458">
        <f>SUM(E708:E713)</f>
        <v>26825.297760998121</v>
      </c>
      <c r="F707" s="459">
        <f>SUM(F708:F713)</f>
        <v>25929.561970749579</v>
      </c>
    </row>
    <row r="708" spans="2:8" ht="15" customHeight="1" outlineLevel="1" x14ac:dyDescent="0.25">
      <c r="B708" s="460" t="s">
        <v>82</v>
      </c>
      <c r="C708" s="183" t="s">
        <v>1</v>
      </c>
      <c r="E708" s="263">
        <f>+E668+E683</f>
        <v>0</v>
      </c>
      <c r="F708" s="461">
        <f>+F668+F683</f>
        <v>0</v>
      </c>
    </row>
    <row r="709" spans="2:8" outlineLevel="1" x14ac:dyDescent="0.25">
      <c r="B709" s="460" t="s">
        <v>28</v>
      </c>
      <c r="C709" s="183" t="s">
        <v>1</v>
      </c>
      <c r="D709" s="28"/>
      <c r="E709" s="263">
        <f t="shared" ref="E709:F713" si="93">+E669+E684</f>
        <v>2217.7338432026959</v>
      </c>
      <c r="F709" s="461">
        <f t="shared" si="93"/>
        <v>1658.6076367956964</v>
      </c>
    </row>
    <row r="710" spans="2:8" ht="14.45" customHeight="1" outlineLevel="1" x14ac:dyDescent="0.25">
      <c r="B710" s="462" t="s">
        <v>13</v>
      </c>
      <c r="C710" s="183" t="s">
        <v>1</v>
      </c>
      <c r="D710" s="249"/>
      <c r="E710" s="263">
        <f t="shared" si="93"/>
        <v>3926.8319999999999</v>
      </c>
      <c r="F710" s="461">
        <f t="shared" si="93"/>
        <v>3926.8319999999999</v>
      </c>
    </row>
    <row r="711" spans="2:8" outlineLevel="1" x14ac:dyDescent="0.25">
      <c r="B711" s="260" t="s">
        <v>507</v>
      </c>
      <c r="C711" s="183" t="s">
        <v>1</v>
      </c>
      <c r="E711" s="263">
        <f t="shared" si="93"/>
        <v>0</v>
      </c>
      <c r="F711" s="461">
        <f t="shared" si="93"/>
        <v>0</v>
      </c>
    </row>
    <row r="712" spans="2:8" ht="14.45" customHeight="1" outlineLevel="1" x14ac:dyDescent="0.25">
      <c r="B712" s="462" t="s">
        <v>7</v>
      </c>
      <c r="C712" s="183" t="s">
        <v>1</v>
      </c>
      <c r="E712" s="263">
        <f t="shared" si="93"/>
        <v>17333.499046562545</v>
      </c>
      <c r="F712" s="461">
        <f t="shared" si="93"/>
        <v>18039.912113746916</v>
      </c>
      <c r="H712" s="4"/>
    </row>
    <row r="713" spans="2:8" ht="14.45" customHeight="1" outlineLevel="1" thickBot="1" x14ac:dyDescent="0.3">
      <c r="B713" s="462" t="s">
        <v>83</v>
      </c>
      <c r="C713" s="183" t="s">
        <v>1</v>
      </c>
      <c r="E713" s="264">
        <f t="shared" si="93"/>
        <v>3347.2328712328772</v>
      </c>
      <c r="F713" s="468">
        <f t="shared" si="93"/>
        <v>2304.2102202069668</v>
      </c>
    </row>
    <row r="714" spans="2:8" ht="14.45" customHeight="1" outlineLevel="1" x14ac:dyDescent="0.25">
      <c r="B714" s="455" t="s">
        <v>154</v>
      </c>
      <c r="C714" s="456" t="s">
        <v>1</v>
      </c>
      <c r="D714" s="457"/>
      <c r="E714" s="458">
        <f>SUM(E715:E719)</f>
        <v>37341.811011308215</v>
      </c>
      <c r="F714" s="459">
        <f>SUM(F715:F719)</f>
        <v>41081.728358997992</v>
      </c>
      <c r="G714" s="4"/>
      <c r="H714" s="4"/>
    </row>
    <row r="715" spans="2:8" ht="14.45" customHeight="1" outlineLevel="1" x14ac:dyDescent="0.25">
      <c r="B715" s="460" t="s">
        <v>8</v>
      </c>
      <c r="C715" s="183" t="s">
        <v>1</v>
      </c>
      <c r="D715" s="93"/>
      <c r="E715" s="263">
        <f>+E675+E690+E698</f>
        <v>5527.7116196868801</v>
      </c>
      <c r="F715" s="461">
        <f>+F675+F690+F698</f>
        <v>4654.6205837822481</v>
      </c>
    </row>
    <row r="716" spans="2:8" ht="14.45" customHeight="1" outlineLevel="1" x14ac:dyDescent="0.25">
      <c r="B716" s="460" t="s">
        <v>84</v>
      </c>
      <c r="C716" s="183" t="s">
        <v>1</v>
      </c>
      <c r="D716" s="93"/>
      <c r="E716" s="263">
        <f>+E677+E692+E699</f>
        <v>5456.440627330433</v>
      </c>
      <c r="F716" s="461">
        <f>+F677+F692+F699</f>
        <v>7480.2182668416335</v>
      </c>
    </row>
    <row r="717" spans="2:8" ht="14.45" customHeight="1" outlineLevel="1" x14ac:dyDescent="0.25">
      <c r="B717" s="460" t="s">
        <v>10</v>
      </c>
      <c r="C717" s="183" t="s">
        <v>1</v>
      </c>
      <c r="D717" s="93"/>
      <c r="E717" s="263">
        <f>+E679+E694+E700+E705</f>
        <v>15203.975175373733</v>
      </c>
      <c r="F717" s="461">
        <f>+F679+F694+F700+F705</f>
        <v>14795.703503349514</v>
      </c>
    </row>
    <row r="718" spans="2:8" ht="14.45" customHeight="1" outlineLevel="1" x14ac:dyDescent="0.25">
      <c r="B718" s="460" t="s">
        <v>155</v>
      </c>
      <c r="C718" s="183" t="s">
        <v>1</v>
      </c>
      <c r="E718" s="263">
        <f>+E680+E695+E701+E706</f>
        <v>3637.7575872768784</v>
      </c>
      <c r="F718" s="461">
        <f>+F680+F695+F701+F706</f>
        <v>5209.8784974172886</v>
      </c>
    </row>
    <row r="719" spans="2:8" ht="14.45" customHeight="1" outlineLevel="1" thickBot="1" x14ac:dyDescent="0.3">
      <c r="B719" s="463" t="s">
        <v>9</v>
      </c>
      <c r="C719" s="464" t="s">
        <v>1</v>
      </c>
      <c r="D719" s="465"/>
      <c r="E719" s="466">
        <f>+E702+E691+E676</f>
        <v>7515.9260016402932</v>
      </c>
      <c r="F719" s="467">
        <f>+F702+F691+F676</f>
        <v>8941.307507607311</v>
      </c>
    </row>
    <row r="720" spans="2:8" outlineLevel="1" x14ac:dyDescent="0.25">
      <c r="B720" s="480" t="s">
        <v>156</v>
      </c>
      <c r="C720" s="481" t="s">
        <v>86</v>
      </c>
      <c r="D720" s="470"/>
      <c r="E720" s="471">
        <v>40688713.394781023</v>
      </c>
      <c r="F720" s="472">
        <v>40688713.394781023</v>
      </c>
    </row>
    <row r="721" spans="2:13" outlineLevel="1" x14ac:dyDescent="0.25">
      <c r="B721" s="479" t="s">
        <v>157</v>
      </c>
      <c r="C721" s="183" t="s">
        <v>87</v>
      </c>
      <c r="E721" s="469">
        <f>+(E707-E710)/E720*1000</f>
        <v>0.56277192986729374</v>
      </c>
      <c r="F721" s="473">
        <f>+(F707-F710)/F720*1000</f>
        <v>0.5407575746440727</v>
      </c>
      <c r="G721" t="s">
        <v>173</v>
      </c>
      <c r="M721" s="176"/>
    </row>
    <row r="722" spans="2:13" outlineLevel="1" x14ac:dyDescent="0.25">
      <c r="B722" s="460" t="s">
        <v>158</v>
      </c>
      <c r="C722" s="183" t="s">
        <v>87</v>
      </c>
      <c r="E722" s="469">
        <f>+E715/E107*1000</f>
        <v>0.57139715502214838</v>
      </c>
      <c r="F722" s="473">
        <f>+F715/F107*1000</f>
        <v>0.60449617971198022</v>
      </c>
    </row>
    <row r="723" spans="2:13" outlineLevel="1" x14ac:dyDescent="0.25">
      <c r="B723" s="460" t="s">
        <v>159</v>
      </c>
      <c r="C723" s="183" t="s">
        <v>87</v>
      </c>
      <c r="E723" s="469">
        <f>+E716/E110*1000</f>
        <v>0.6790151275206403</v>
      </c>
      <c r="F723" s="473">
        <f>+F716/F110*1000</f>
        <v>0.65192564036243505</v>
      </c>
    </row>
    <row r="724" spans="2:13" ht="15.75" outlineLevel="1" thickBot="1" x14ac:dyDescent="0.3">
      <c r="B724" s="482" t="s">
        <v>160</v>
      </c>
      <c r="C724" s="464" t="s">
        <v>87</v>
      </c>
      <c r="D724" s="465"/>
      <c r="E724" s="474">
        <f>+(E718+E717)/E114*1000</f>
        <v>0.83200082356314387</v>
      </c>
      <c r="F724" s="475">
        <f>+(F718+F717)/F114*1000</f>
        <v>0.95031780452176606</v>
      </c>
    </row>
    <row r="725" spans="2:13" outlineLevel="1" x14ac:dyDescent="0.25"/>
    <row r="726" spans="2:13" outlineLevel="1" x14ac:dyDescent="0.25">
      <c r="B726" s="591"/>
      <c r="C726" s="592"/>
      <c r="D726" s="593"/>
      <c r="E726" s="476">
        <v>2023</v>
      </c>
      <c r="F726" s="476">
        <v>2024</v>
      </c>
    </row>
    <row r="727" spans="2:13" outlineLevel="1" x14ac:dyDescent="0.25">
      <c r="B727" s="588" t="s">
        <v>458</v>
      </c>
      <c r="C727" s="589"/>
      <c r="D727" s="590"/>
      <c r="E727" s="477">
        <f>ROUND(E721+E724,2)</f>
        <v>1.39</v>
      </c>
      <c r="F727" s="477">
        <f>ROUND(F721+F724,2)</f>
        <v>1.49</v>
      </c>
    </row>
    <row r="728" spans="2:13" outlineLevel="1" x14ac:dyDescent="0.25">
      <c r="B728" s="585" t="s">
        <v>459</v>
      </c>
      <c r="C728" s="586"/>
      <c r="D728" s="587"/>
      <c r="E728" s="92"/>
      <c r="F728" s="478">
        <f>+F727/E727-1</f>
        <v>7.1942446043165464E-2</v>
      </c>
    </row>
    <row r="729" spans="2:13" outlineLevel="1" x14ac:dyDescent="0.25"/>
    <row r="730" spans="2:13" outlineLevel="1" x14ac:dyDescent="0.25"/>
    <row r="731" spans="2:13" outlineLevel="1" x14ac:dyDescent="0.25"/>
    <row r="732" spans="2:13" outlineLevel="1" x14ac:dyDescent="0.25">
      <c r="J732" s="4"/>
      <c r="K732" s="101"/>
      <c r="L732" s="85"/>
    </row>
    <row r="733" spans="2:13" outlineLevel="1" x14ac:dyDescent="0.25">
      <c r="H733" s="4"/>
      <c r="J733" s="4"/>
      <c r="K733" s="101"/>
      <c r="L733" s="85"/>
    </row>
    <row r="734" spans="2:13" outlineLevel="1" x14ac:dyDescent="0.25">
      <c r="H734" s="4"/>
      <c r="J734" s="4"/>
      <c r="K734" s="101"/>
    </row>
    <row r="735" spans="2:13" outlineLevel="1" x14ac:dyDescent="0.25">
      <c r="J735" s="103"/>
      <c r="K735" s="101"/>
    </row>
    <row r="736" spans="2:13" outlineLevel="1" x14ac:dyDescent="0.25"/>
    <row r="737" spans="8:11" outlineLevel="1" x14ac:dyDescent="0.25"/>
    <row r="738" spans="8:11" outlineLevel="1" x14ac:dyDescent="0.25"/>
    <row r="739" spans="8:11" outlineLevel="1" x14ac:dyDescent="0.25">
      <c r="H739" s="4"/>
      <c r="I739" s="68"/>
      <c r="J739" s="4"/>
      <c r="K739" s="83"/>
    </row>
    <row r="740" spans="8:11" outlineLevel="1" x14ac:dyDescent="0.25">
      <c r="H740" s="4"/>
      <c r="I740" s="68"/>
      <c r="J740" s="4"/>
      <c r="K740" s="4"/>
    </row>
    <row r="741" spans="8:11" outlineLevel="1" x14ac:dyDescent="0.25">
      <c r="H741" s="4"/>
      <c r="I741" s="68"/>
      <c r="J741" s="4"/>
      <c r="K741" s="4"/>
    </row>
    <row r="742" spans="8:11" outlineLevel="1" x14ac:dyDescent="0.25">
      <c r="H742" s="4"/>
      <c r="I742" s="68"/>
      <c r="J742" s="4"/>
      <c r="K742" s="4"/>
    </row>
    <row r="743" spans="8:11" outlineLevel="1" x14ac:dyDescent="0.25">
      <c r="J743" s="4"/>
      <c r="K743" s="4"/>
    </row>
    <row r="744" spans="8:11" outlineLevel="1" x14ac:dyDescent="0.25">
      <c r="K744" s="4"/>
    </row>
    <row r="745" spans="8:11" outlineLevel="1" x14ac:dyDescent="0.25"/>
    <row r="746" spans="8:11" outlineLevel="1" x14ac:dyDescent="0.25">
      <c r="K746" s="4"/>
    </row>
    <row r="747" spans="8:11" outlineLevel="1" x14ac:dyDescent="0.25"/>
    <row r="748" spans="8:11" outlineLevel="1" x14ac:dyDescent="0.25"/>
    <row r="749" spans="8:11" outlineLevel="1" x14ac:dyDescent="0.25">
      <c r="H749" s="4"/>
      <c r="I749" s="68"/>
    </row>
    <row r="750" spans="8:11" x14ac:dyDescent="0.25">
      <c r="H750" s="4"/>
      <c r="I750" s="68"/>
    </row>
    <row r="751" spans="8:11" x14ac:dyDescent="0.25">
      <c r="H751" s="4"/>
      <c r="I751" s="68"/>
    </row>
    <row r="764" spans="10:12" collapsed="1" x14ac:dyDescent="0.25">
      <c r="K764" s="4"/>
      <c r="L764" s="83"/>
    </row>
    <row r="765" spans="10:12" x14ac:dyDescent="0.25">
      <c r="K765" s="4"/>
      <c r="L765" s="4"/>
    </row>
    <row r="766" spans="10:12" x14ac:dyDescent="0.25">
      <c r="J766" s="68"/>
      <c r="K766" s="4"/>
      <c r="L766" s="4"/>
    </row>
    <row r="767" spans="10:12" x14ac:dyDescent="0.25">
      <c r="J767" s="68"/>
      <c r="K767" s="4"/>
      <c r="L767" s="4"/>
    </row>
    <row r="768" spans="10:12" x14ac:dyDescent="0.25">
      <c r="L768" s="4"/>
    </row>
    <row r="769" spans="12:12" x14ac:dyDescent="0.25">
      <c r="L769" s="4"/>
    </row>
    <row r="771" spans="12:12" x14ac:dyDescent="0.25">
      <c r="L771" s="4"/>
    </row>
  </sheetData>
  <protectedRanges>
    <protectedRange sqref="I93:J93 E93:F93" name="Range1_7_1" securityDescriptor="O:WDG:WDD:(A;;CC;;;S-1-5-21-1823811621-336188519-2245429935-571)"/>
  </protectedRanges>
  <mergeCells count="30">
    <mergeCell ref="M118:N118"/>
    <mergeCell ref="I118:J118"/>
    <mergeCell ref="G118:H118"/>
    <mergeCell ref="K118:L118"/>
    <mergeCell ref="G152:H153"/>
    <mergeCell ref="K152:L153"/>
    <mergeCell ref="I152:J153"/>
    <mergeCell ref="F146:H146"/>
    <mergeCell ref="B43:B44"/>
    <mergeCell ref="E183:F183"/>
    <mergeCell ref="H172:I172"/>
    <mergeCell ref="H5:I5"/>
    <mergeCell ref="B182:C183"/>
    <mergeCell ref="M152:N153"/>
    <mergeCell ref="G183:H183"/>
    <mergeCell ref="E172:F172"/>
    <mergeCell ref="F176:F180"/>
    <mergeCell ref="B728:D728"/>
    <mergeCell ref="B727:D727"/>
    <mergeCell ref="B726:D726"/>
    <mergeCell ref="B660:D660"/>
    <mergeCell ref="E269:F269"/>
    <mergeCell ref="E152:F153"/>
    <mergeCell ref="H269:I269"/>
    <mergeCell ref="B1:F1"/>
    <mergeCell ref="B2:F2"/>
    <mergeCell ref="B4:F4"/>
    <mergeCell ref="B9:C9"/>
    <mergeCell ref="B41:B42"/>
    <mergeCell ref="E9:F9"/>
  </mergeCells>
  <phoneticPr fontId="53" type="noConversion"/>
  <dataValidations disablePrompts="1" count="18">
    <dataValidation type="decimal" allowBlank="1" showErrorMessage="1" errorTitle="Invalid data" error="Values between 0% and 100% must be entered." sqref="E82:J83" xr:uid="{225C9068-19A2-466D-A24B-B9D25B3A0ECD}">
      <formula1>0</formula1>
      <formula2>1</formula2>
    </dataValidation>
    <dataValidation type="list" allowBlank="1" showInputMessage="1" showErrorMessage="1" sqref="D75 D79 D86 D82:D84 D194 D197 D187 D190 D201 D205 D209 D213" xr:uid="{160AAAA3-764F-4CE0-9630-6EE193A8CE97}">
      <formula1>#REF!</formula1>
    </dataValidation>
    <dataValidation type="decimal" allowBlank="1" showInputMessage="1" showErrorMessage="1" errorTitle="Invalid data" error="Values between 0% and 100% must be entered." sqref="E79:J79 E37:G38" xr:uid="{C6952271-C5EE-435E-B9F5-2509B04EF9BA}">
      <formula1>0</formula1>
      <formula2>1</formula2>
    </dataValidation>
    <dataValidation type="decimal" showErrorMessage="1" errorTitle="Invalid data" error="Values between 0% and 100% must be entered." sqref="E75:J75" xr:uid="{BBC5355D-BD60-48FB-9FDB-F04BA9D52681}">
      <formula1>0</formula1>
      <formula2>1</formula2>
    </dataValidation>
    <dataValidation type="whole" allowBlank="1" showInputMessage="1" showErrorMessage="1" errorTitle="Invalid data" error="Values between 0 and the part of allowed revenue allocated for Primary network must be entered." sqref="J27 E27:G27" xr:uid="{36C0B0D4-0DF5-4585-A5D6-66AE7D88D5AF}">
      <formula1>0</formula1>
      <formula2>E26</formula2>
    </dataValidation>
    <dataValidation type="decimal" operator="greaterThanOrEqual" allowBlank="1" showInputMessage="1" showErrorMessage="1" errorTitle="Invalid data" error="Values greater than or equal to the part of allowed revenue allocated for transportation to 3rd country service must be entered." sqref="J26 E26:G26" xr:uid="{60AB61EF-D867-41C0-BCD2-CDA8B43FDE62}">
      <formula1>E27</formula1>
    </dataValidation>
    <dataValidation type="decimal" allowBlank="1" showErrorMessage="1" errorTitle="Invalid data" error="Values between 1 and the difference between 200000 and capacity booking (at Domestic Exit Point) of Group with annual Q &lt;=10.4 TWh must be entered." sqref="I103:J103 E103:F103" xr:uid="{80FB736C-5EFA-4EE0-A510-C27CE224C88C}">
      <formula1>1</formula1>
      <formula2>200000-E102</formula2>
    </dataValidation>
    <dataValidation type="decimal" operator="greaterThanOrEqual" allowBlank="1" showInputMessage="1" showErrorMessage="1" errorTitle="Invalid data" error="Values greater than or equal to the Quantity attributed to the Group of network users with annual Q &lt;= 10.4 TWh must be entered." sqref="I108:J108 E108:F108" xr:uid="{E322E666-1609-4BDB-AC43-F506594C9ECA}">
      <formula1>E115</formula1>
    </dataValidation>
    <dataValidation type="whole" allowBlank="1" showInputMessage="1" showErrorMessage="1" errorTitle="Invalid data" error="Values between 1 and total Domestic Exit Point's Quantity of gas transported must be entered." sqref="I115:J115 E115:F115" xr:uid="{DDC65EBA-E78C-4C14-91A4-3D49B3EFC1BA}">
      <formula1>1</formula1>
      <formula2>E114</formula2>
    </dataValidation>
    <dataValidation type="decimal" allowBlank="1" showInputMessage="1" showErrorMessage="1" errorTitle="Invalid data" error="Values between 1 and the difference between 390533,47 (i.e. the sum of all technical capacity of all Entry (excluding Klaipėda) points) and capacity booking at Šakiai Exit Point must be entered." sqref="I93:J93 E93:F93" xr:uid="{75039CBF-6D85-4FA7-A6C6-C1FF0CE16BFD}">
      <formula1>1</formula1>
      <formula2>390533.47-E100</formula2>
    </dataValidation>
    <dataValidation type="decimal" allowBlank="1" showInputMessage="1" showErrorMessage="1" errorTitle="Invalid data" error="Values between 0 and 67600 (i.e. not greater than technical capacity) must be entered." sqref="E98:G99 I98:J99 H24:H25" xr:uid="{46CBC718-8012-4D0A-8099-4C6F506EDB8A}">
      <formula1>0</formula1>
      <formula2>67600</formula2>
    </dataValidation>
    <dataValidation type="decimal" showErrorMessage="1" errorTitle="Invalid data" error="Values between 1 and 114200 (i.e. not greater than technical capacity) must be entered." sqref="E100:G100 I100:J100" xr:uid="{5718C388-C2FA-4939-99E5-86E1CEB4DCE6}">
      <formula1>1</formula1>
      <formula2>114200</formula2>
    </dataValidation>
    <dataValidation allowBlank="1" showErrorMessage="1" sqref="E101:G101 I101:J101" xr:uid="{D965225E-0A77-49EF-8F95-CDCF183DD44C}"/>
    <dataValidation type="decimal" allowBlank="1" showErrorMessage="1" errorTitle="Invalid data" error="Values between 1 and 200000 must be entered." sqref="E102:G102 I102:J102" xr:uid="{3B73FE83-D84B-45A3-909A-7CE6942D8C26}">
      <formula1>1</formula1>
      <formula2>200000</formula2>
    </dataValidation>
    <dataValidation type="decimal" showErrorMessage="1" errorTitle="Invalid data" error="Values between 1 and 114200 (i.e. not greater than technical capacity at Šakiai Exit Point) must be entered." sqref="E96:G96 I96:J96" xr:uid="{7F01B001-68E2-46B8-BFD1-4DCBAE8F6698}">
      <formula1>1</formula1>
      <formula2>114200</formula2>
    </dataValidation>
    <dataValidation type="decimal" operator="greaterThanOrEqual" allowBlank="1" showInputMessage="1" showErrorMessage="1" errorTitle="Invalid data" error="Values greater than or equal to 0 must be entered." sqref="E109:G110 I109:J110 I107:J107 E107:G107" xr:uid="{6396DB91-1BDE-49FC-B723-6E1C251C6D06}">
      <formula1>0</formula1>
    </dataValidation>
    <dataValidation type="decimal" allowBlank="1" showInputMessage="1" showErrorMessage="1" errorTitle="Invalid data" error="Values between 0 and 122350 (i.e. not greater than technical capacity) must be entered." sqref="E94:G95 I94:J95" xr:uid="{0CC5EAB2-86D0-4602-A42F-0B6F468B612F}">
      <formula1>0</formula1>
      <formula2>122350</formula2>
    </dataValidation>
    <dataValidation type="decimal" operator="lessThanOrEqual" allowBlank="1" showInputMessage="1" showErrorMessage="1" errorTitle="Invalid data" error="Values between 0 and the part of redistribution of LNGT discount for (LT&gt;LV) Kiemenai Exit point must be entered." sqref="G18:J19" xr:uid="{E7C9D249-03A0-4FC3-95C1-E3863445254D}">
      <formula1>G17</formula1>
    </dataValidation>
  </dataValidations>
  <pageMargins left="0.7" right="0.7" top="0.75" bottom="0.75" header="0.3" footer="0.3"/>
  <pageSetup paperSize="9" scale="27"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BE94"/>
  <sheetViews>
    <sheetView showGridLines="0" zoomScale="85" zoomScaleNormal="85" workbookViewId="0">
      <selection activeCell="B87" sqref="B87"/>
    </sheetView>
  </sheetViews>
  <sheetFormatPr defaultRowHeight="15" x14ac:dyDescent="0.25"/>
  <cols>
    <col min="1" max="1" width="2.140625" customWidth="1"/>
    <col min="2" max="2" width="59.7109375" customWidth="1"/>
    <col min="3" max="3" width="10.85546875" customWidth="1"/>
    <col min="4" max="19" width="6.7109375" customWidth="1"/>
    <col min="20" max="20" width="9.42578125" customWidth="1"/>
    <col min="21" max="23" width="6.7109375" customWidth="1"/>
    <col min="24" max="24" width="6" bestFit="1" customWidth="1"/>
    <col min="25" max="30" width="6.7109375" customWidth="1"/>
    <col min="31" max="31" width="6.85546875" bestFit="1" customWidth="1"/>
    <col min="32" max="43" width="6.7109375" bestFit="1" customWidth="1"/>
  </cols>
  <sheetData>
    <row r="1" spans="2:36" ht="23.25" x14ac:dyDescent="0.25">
      <c r="B1" s="42" t="s">
        <v>282</v>
      </c>
      <c r="C1" s="72"/>
      <c r="D1" s="72"/>
      <c r="E1" s="72"/>
      <c r="F1" s="72"/>
      <c r="G1" s="72"/>
      <c r="H1" s="72"/>
      <c r="I1" s="72"/>
      <c r="J1" s="72"/>
      <c r="K1" s="72"/>
      <c r="L1" s="72"/>
      <c r="M1" s="72"/>
      <c r="N1" s="72"/>
      <c r="O1" s="72"/>
      <c r="P1" s="72"/>
      <c r="Q1" s="72"/>
      <c r="R1" s="72"/>
      <c r="S1" s="72"/>
      <c r="T1" s="72"/>
      <c r="U1" s="72"/>
      <c r="V1" s="72"/>
      <c r="W1" s="40"/>
    </row>
    <row r="2" spans="2:36" ht="10.5" customHeight="1" x14ac:dyDescent="0.25">
      <c r="B2" s="42"/>
      <c r="C2" s="72"/>
      <c r="D2" s="72"/>
      <c r="E2" s="72"/>
      <c r="F2" s="72"/>
      <c r="G2" s="72"/>
      <c r="H2" s="72"/>
      <c r="I2" s="72"/>
      <c r="J2" s="72"/>
      <c r="K2" s="72"/>
      <c r="L2" s="72"/>
      <c r="M2" s="72"/>
      <c r="N2" s="72"/>
      <c r="O2" s="72"/>
      <c r="P2" s="72"/>
      <c r="Q2" s="72"/>
      <c r="R2" s="72"/>
      <c r="S2" s="72"/>
      <c r="T2" s="72"/>
      <c r="U2" s="72"/>
      <c r="V2" s="72"/>
      <c r="W2" s="40"/>
    </row>
    <row r="3" spans="2:36" ht="10.9" customHeight="1" x14ac:dyDescent="0.25">
      <c r="B3" s="14" t="s">
        <v>228</v>
      </c>
      <c r="C3" s="3"/>
      <c r="D3" s="3"/>
      <c r="E3" s="3"/>
      <c r="F3" s="3"/>
      <c r="G3" s="3"/>
      <c r="H3" s="3"/>
      <c r="I3" s="3"/>
      <c r="J3" s="3"/>
      <c r="K3" s="3"/>
      <c r="L3" s="3"/>
      <c r="M3" s="3"/>
      <c r="N3" s="3"/>
      <c r="O3" s="3"/>
      <c r="P3" s="3"/>
      <c r="Q3" s="3"/>
      <c r="R3" s="3"/>
      <c r="S3" s="3"/>
      <c r="T3" s="16"/>
      <c r="U3" s="16"/>
      <c r="V3" s="16"/>
      <c r="W3" s="16"/>
    </row>
    <row r="4" spans="2:36" x14ac:dyDescent="0.25">
      <c r="B4" s="532" t="s">
        <v>227</v>
      </c>
      <c r="C4" s="2"/>
      <c r="D4" s="2"/>
      <c r="E4" s="2"/>
      <c r="F4" s="2"/>
      <c r="G4" s="2"/>
    </row>
    <row r="5" spans="2:36" x14ac:dyDescent="0.25">
      <c r="B5" s="5"/>
      <c r="C5" s="2"/>
      <c r="D5" s="2"/>
      <c r="E5" s="2"/>
      <c r="F5" s="2"/>
      <c r="G5" s="2"/>
    </row>
    <row r="6" spans="2:36" ht="16.149999999999999" customHeight="1" x14ac:dyDescent="0.25">
      <c r="B6" s="623" t="s">
        <v>281</v>
      </c>
      <c r="C6" s="623"/>
      <c r="D6" s="623"/>
      <c r="E6" s="623"/>
      <c r="F6" s="623"/>
      <c r="G6" s="623"/>
      <c r="H6" s="623"/>
      <c r="I6" s="623"/>
      <c r="J6" s="623"/>
      <c r="K6" s="623"/>
      <c r="L6" s="623"/>
      <c r="M6" s="623"/>
      <c r="N6" s="623"/>
      <c r="O6" s="623"/>
      <c r="P6" s="623"/>
      <c r="Q6" s="623"/>
      <c r="R6" s="623"/>
      <c r="S6" s="623"/>
      <c r="T6" s="294"/>
      <c r="U6" s="294"/>
      <c r="V6" s="294"/>
      <c r="W6" s="294"/>
      <c r="X6" s="294"/>
      <c r="Y6" s="294"/>
      <c r="Z6" s="294"/>
      <c r="AA6" s="294"/>
      <c r="AB6" s="294"/>
      <c r="AC6" s="294"/>
      <c r="AD6" s="294"/>
      <c r="AE6" s="294"/>
      <c r="AF6" s="294"/>
      <c r="AG6" s="294"/>
      <c r="AH6" s="294"/>
      <c r="AI6" s="294"/>
      <c r="AJ6" s="294"/>
    </row>
    <row r="7" spans="2:36" s="53" customFormat="1" ht="6" customHeight="1" x14ac:dyDescent="0.25">
      <c r="B7" s="44"/>
      <c r="C7" s="44"/>
      <c r="D7" s="44"/>
      <c r="E7" s="44"/>
      <c r="F7" s="44"/>
      <c r="G7" s="44"/>
      <c r="H7" s="44"/>
      <c r="I7" s="44"/>
      <c r="J7" s="44"/>
      <c r="K7" s="44"/>
      <c r="L7" s="44"/>
      <c r="M7" s="44"/>
      <c r="N7" s="44"/>
      <c r="O7" s="44"/>
      <c r="P7" s="44"/>
      <c r="Q7" s="44"/>
      <c r="R7" s="44"/>
      <c r="S7" s="44"/>
    </row>
    <row r="8" spans="2:36" x14ac:dyDescent="0.25">
      <c r="B8" s="622" t="s">
        <v>280</v>
      </c>
      <c r="C8" s="622"/>
      <c r="D8" s="622"/>
      <c r="E8" s="622"/>
      <c r="F8" s="622"/>
      <c r="G8" s="622"/>
      <c r="H8" s="622"/>
      <c r="I8" s="622"/>
      <c r="J8" s="622"/>
      <c r="K8" s="622"/>
      <c r="L8" s="622"/>
      <c r="M8" s="622"/>
      <c r="N8" s="622"/>
      <c r="O8" s="622"/>
      <c r="P8" s="622"/>
      <c r="Q8" s="622"/>
      <c r="R8" s="622"/>
      <c r="S8" s="622"/>
      <c r="T8" s="622"/>
      <c r="U8" s="622"/>
      <c r="V8" s="622"/>
      <c r="W8" s="622"/>
      <c r="X8" s="622"/>
      <c r="Y8" s="622"/>
      <c r="Z8" s="622"/>
      <c r="AA8" s="622"/>
      <c r="AB8" s="622"/>
      <c r="AC8" s="622"/>
      <c r="AD8" s="622"/>
      <c r="AE8" s="622"/>
      <c r="AF8" s="622"/>
      <c r="AG8" s="622"/>
      <c r="AH8" s="622"/>
      <c r="AI8" s="622"/>
      <c r="AJ8" s="622"/>
    </row>
    <row r="9" spans="2:36" ht="41.45" customHeight="1" x14ac:dyDescent="0.25">
      <c r="B9" s="624" t="s">
        <v>4</v>
      </c>
      <c r="C9" s="339" t="s">
        <v>274</v>
      </c>
      <c r="D9" s="616" t="s">
        <v>275</v>
      </c>
      <c r="E9" s="617"/>
      <c r="F9" s="617"/>
      <c r="G9" s="618"/>
      <c r="H9" s="619" t="s">
        <v>276</v>
      </c>
      <c r="I9" s="620"/>
      <c r="J9" s="620"/>
      <c r="K9" s="620"/>
      <c r="L9" s="620"/>
      <c r="M9" s="620"/>
      <c r="N9" s="620"/>
      <c r="O9" s="620"/>
      <c r="P9" s="620"/>
      <c r="Q9" s="620"/>
      <c r="R9" s="620"/>
      <c r="S9" s="621"/>
      <c r="T9" s="339" t="s">
        <v>277</v>
      </c>
      <c r="U9" s="616" t="s">
        <v>278</v>
      </c>
      <c r="V9" s="617"/>
      <c r="W9" s="617"/>
      <c r="X9" s="618"/>
      <c r="Y9" s="619" t="s">
        <v>279</v>
      </c>
      <c r="Z9" s="620"/>
      <c r="AA9" s="620"/>
      <c r="AB9" s="620"/>
      <c r="AC9" s="620"/>
      <c r="AD9" s="620"/>
      <c r="AE9" s="620"/>
      <c r="AF9" s="620"/>
      <c r="AG9" s="620"/>
      <c r="AH9" s="620"/>
      <c r="AI9" s="620"/>
      <c r="AJ9" s="621"/>
    </row>
    <row r="10" spans="2:36" x14ac:dyDescent="0.25">
      <c r="B10" s="624"/>
      <c r="C10" s="339"/>
      <c r="D10" s="339" t="s">
        <v>265</v>
      </c>
      <c r="E10" s="339" t="s">
        <v>266</v>
      </c>
      <c r="F10" s="339" t="s">
        <v>267</v>
      </c>
      <c r="G10" s="339" t="s">
        <v>268</v>
      </c>
      <c r="H10" s="339" t="s">
        <v>231</v>
      </c>
      <c r="I10" s="339" t="s">
        <v>232</v>
      </c>
      <c r="J10" s="339" t="s">
        <v>233</v>
      </c>
      <c r="K10" s="339" t="s">
        <v>234</v>
      </c>
      <c r="L10" s="339" t="s">
        <v>200</v>
      </c>
      <c r="M10" s="339" t="s">
        <v>235</v>
      </c>
      <c r="N10" s="339" t="s">
        <v>236</v>
      </c>
      <c r="O10" s="339" t="s">
        <v>237</v>
      </c>
      <c r="P10" s="339" t="s">
        <v>238</v>
      </c>
      <c r="Q10" s="339" t="s">
        <v>239</v>
      </c>
      <c r="R10" s="339" t="s">
        <v>240</v>
      </c>
      <c r="S10" s="339" t="s">
        <v>241</v>
      </c>
      <c r="T10" s="339"/>
      <c r="U10" s="339" t="s">
        <v>265</v>
      </c>
      <c r="V10" s="339" t="s">
        <v>266</v>
      </c>
      <c r="W10" s="339" t="s">
        <v>267</v>
      </c>
      <c r="X10" s="339" t="s">
        <v>268</v>
      </c>
      <c r="Y10" s="339" t="s">
        <v>231</v>
      </c>
      <c r="Z10" s="339" t="s">
        <v>232</v>
      </c>
      <c r="AA10" s="339" t="s">
        <v>233</v>
      </c>
      <c r="AB10" s="339" t="s">
        <v>234</v>
      </c>
      <c r="AC10" s="339" t="s">
        <v>200</v>
      </c>
      <c r="AD10" s="339" t="s">
        <v>235</v>
      </c>
      <c r="AE10" s="339" t="s">
        <v>236</v>
      </c>
      <c r="AF10" s="339" t="s">
        <v>237</v>
      </c>
      <c r="AG10" s="339" t="s">
        <v>238</v>
      </c>
      <c r="AH10" s="339" t="s">
        <v>239</v>
      </c>
      <c r="AI10" s="339" t="s">
        <v>240</v>
      </c>
      <c r="AJ10" s="339" t="s">
        <v>241</v>
      </c>
    </row>
    <row r="11" spans="2:36" x14ac:dyDescent="0.25">
      <c r="B11" s="291">
        <v>2023</v>
      </c>
      <c r="C11" s="292">
        <v>365</v>
      </c>
      <c r="D11" s="293">
        <v>90</v>
      </c>
      <c r="E11" s="293">
        <v>91</v>
      </c>
      <c r="F11" s="293">
        <v>92</v>
      </c>
      <c r="G11" s="293">
        <v>92</v>
      </c>
      <c r="H11" s="325">
        <v>31</v>
      </c>
      <c r="I11" s="325">
        <v>28</v>
      </c>
      <c r="J11" s="325">
        <v>31</v>
      </c>
      <c r="K11" s="325">
        <v>30</v>
      </c>
      <c r="L11" s="325">
        <v>31</v>
      </c>
      <c r="M11" s="325">
        <v>30</v>
      </c>
      <c r="N11" s="325">
        <v>31</v>
      </c>
      <c r="O11" s="325">
        <v>31</v>
      </c>
      <c r="P11" s="325">
        <v>30</v>
      </c>
      <c r="Q11" s="325">
        <v>31</v>
      </c>
      <c r="R11" s="325">
        <v>30</v>
      </c>
      <c r="S11" s="325">
        <v>31</v>
      </c>
      <c r="T11" s="292">
        <v>8760</v>
      </c>
      <c r="U11" s="292">
        <v>2160</v>
      </c>
      <c r="V11" s="292">
        <v>2184</v>
      </c>
      <c r="W11" s="292">
        <v>2208</v>
      </c>
      <c r="X11" s="292">
        <v>2208</v>
      </c>
      <c r="Y11" s="325">
        <v>744</v>
      </c>
      <c r="Z11" s="325">
        <v>672</v>
      </c>
      <c r="AA11" s="325">
        <v>744</v>
      </c>
      <c r="AB11" s="325">
        <v>720</v>
      </c>
      <c r="AC11" s="325">
        <v>744</v>
      </c>
      <c r="AD11" s="325">
        <v>720</v>
      </c>
      <c r="AE11" s="325">
        <v>744</v>
      </c>
      <c r="AF11" s="325">
        <v>744</v>
      </c>
      <c r="AG11" s="325">
        <v>720</v>
      </c>
      <c r="AH11" s="325">
        <v>744</v>
      </c>
      <c r="AI11" s="325">
        <v>720</v>
      </c>
      <c r="AJ11" s="325">
        <v>744</v>
      </c>
    </row>
    <row r="12" spans="2:36" x14ac:dyDescent="0.25">
      <c r="B12" s="291">
        <v>2024</v>
      </c>
      <c r="C12" s="292">
        <v>366</v>
      </c>
      <c r="D12" s="293">
        <v>91</v>
      </c>
      <c r="E12" s="293">
        <v>91</v>
      </c>
      <c r="F12" s="293">
        <v>92</v>
      </c>
      <c r="G12" s="293">
        <v>92</v>
      </c>
      <c r="H12" s="325">
        <v>31</v>
      </c>
      <c r="I12" s="325">
        <v>29</v>
      </c>
      <c r="J12" s="325">
        <v>31</v>
      </c>
      <c r="K12" s="325">
        <v>30</v>
      </c>
      <c r="L12" s="325">
        <v>31</v>
      </c>
      <c r="M12" s="325">
        <v>30</v>
      </c>
      <c r="N12" s="325">
        <v>31</v>
      </c>
      <c r="O12" s="325">
        <v>31</v>
      </c>
      <c r="P12" s="325">
        <v>30</v>
      </c>
      <c r="Q12" s="325">
        <v>31</v>
      </c>
      <c r="R12" s="325">
        <v>30</v>
      </c>
      <c r="S12" s="325">
        <v>31</v>
      </c>
      <c r="T12" s="292">
        <v>8784</v>
      </c>
      <c r="U12" s="292">
        <v>2184</v>
      </c>
      <c r="V12" s="292">
        <v>2184</v>
      </c>
      <c r="W12" s="292">
        <v>2208</v>
      </c>
      <c r="X12" s="292">
        <v>2208</v>
      </c>
      <c r="Y12" s="325">
        <v>744</v>
      </c>
      <c r="Z12" s="325">
        <v>696</v>
      </c>
      <c r="AA12" s="325">
        <v>744</v>
      </c>
      <c r="AB12" s="325">
        <v>720</v>
      </c>
      <c r="AC12" s="325">
        <v>744</v>
      </c>
      <c r="AD12" s="325">
        <v>720</v>
      </c>
      <c r="AE12" s="325">
        <v>744</v>
      </c>
      <c r="AF12" s="325">
        <v>744</v>
      </c>
      <c r="AG12" s="325">
        <v>720</v>
      </c>
      <c r="AH12" s="325">
        <v>744</v>
      </c>
      <c r="AI12" s="325">
        <v>720</v>
      </c>
      <c r="AJ12" s="325">
        <v>744</v>
      </c>
    </row>
    <row r="14" spans="2:36" x14ac:dyDescent="0.25">
      <c r="B14" s="537" t="s">
        <v>283</v>
      </c>
      <c r="C14" s="537"/>
      <c r="D14" s="537"/>
      <c r="E14" s="537"/>
      <c r="F14" s="537"/>
      <c r="G14" s="537"/>
      <c r="H14" s="537"/>
      <c r="I14" s="537"/>
      <c r="J14" s="537"/>
      <c r="K14" s="537"/>
      <c r="L14" s="537"/>
      <c r="M14" s="537"/>
      <c r="N14" s="537"/>
      <c r="O14" s="44"/>
      <c r="P14" s="44"/>
      <c r="Q14" s="44"/>
      <c r="R14" s="44"/>
      <c r="S14" s="44"/>
      <c r="T14" s="45"/>
      <c r="U14" s="45"/>
      <c r="V14" s="45"/>
      <c r="W14" s="45"/>
      <c r="X14" s="45"/>
      <c r="Y14" s="45"/>
      <c r="Z14" s="45"/>
      <c r="AA14" s="45"/>
      <c r="AB14" s="45"/>
      <c r="AC14" s="45"/>
      <c r="AD14" s="45"/>
      <c r="AE14" s="45"/>
    </row>
    <row r="15" spans="2:36" ht="39.75" customHeight="1" x14ac:dyDescent="0.25">
      <c r="B15" s="632" t="s">
        <v>4</v>
      </c>
      <c r="C15" s="625"/>
      <c r="D15" s="626" t="s">
        <v>284</v>
      </c>
      <c r="E15" s="627"/>
      <c r="F15" s="627"/>
      <c r="G15" s="628"/>
      <c r="H15" s="626" t="s">
        <v>285</v>
      </c>
      <c r="I15" s="627"/>
      <c r="J15" s="627"/>
      <c r="K15" s="628"/>
      <c r="L15" s="629" t="s">
        <v>286</v>
      </c>
      <c r="M15" s="630"/>
      <c r="N15" s="631"/>
      <c r="O15" s="70"/>
      <c r="P15" s="47"/>
      <c r="Q15" s="47"/>
      <c r="R15" s="47"/>
      <c r="S15" s="47"/>
      <c r="T15" s="48"/>
      <c r="U15" s="47"/>
      <c r="V15" s="47"/>
      <c r="W15" s="47"/>
      <c r="X15" s="47"/>
      <c r="Y15" s="47"/>
      <c r="Z15" s="47"/>
      <c r="AA15" s="47"/>
      <c r="AB15" s="47"/>
      <c r="AC15" s="47"/>
      <c r="AD15" s="47"/>
      <c r="AE15" s="47"/>
    </row>
    <row r="16" spans="2:36" ht="14.45" customHeight="1" x14ac:dyDescent="0.25">
      <c r="B16" s="632"/>
      <c r="C16" s="625"/>
      <c r="D16" s="339" t="s">
        <v>287</v>
      </c>
      <c r="E16" s="339" t="s">
        <v>5</v>
      </c>
      <c r="F16" s="339" t="s">
        <v>288</v>
      </c>
      <c r="G16" s="339" t="s">
        <v>289</v>
      </c>
      <c r="H16" s="339" t="s">
        <v>287</v>
      </c>
      <c r="I16" s="339" t="s">
        <v>5</v>
      </c>
      <c r="J16" s="339" t="s">
        <v>288</v>
      </c>
      <c r="K16" s="339" t="s">
        <v>289</v>
      </c>
      <c r="L16" s="339" t="s">
        <v>287</v>
      </c>
      <c r="M16" s="339" t="s">
        <v>5</v>
      </c>
      <c r="N16" s="339" t="s">
        <v>290</v>
      </c>
      <c r="O16" s="56"/>
      <c r="P16" s="49"/>
      <c r="Q16" s="49"/>
      <c r="R16" s="49"/>
      <c r="S16" s="49"/>
      <c r="T16" s="49"/>
      <c r="U16" s="49"/>
      <c r="V16" s="49"/>
      <c r="W16" s="49"/>
      <c r="X16" s="49"/>
      <c r="Y16" s="49"/>
      <c r="Z16" s="49"/>
      <c r="AA16" s="49"/>
      <c r="AB16" s="49"/>
      <c r="AC16" s="49"/>
      <c r="AD16" s="49"/>
      <c r="AE16" s="49"/>
    </row>
    <row r="17" spans="2:57" x14ac:dyDescent="0.25">
      <c r="B17" s="291">
        <v>2023</v>
      </c>
      <c r="C17" s="178"/>
      <c r="D17" s="295">
        <v>1.1000000000000001</v>
      </c>
      <c r="E17" s="295">
        <v>1.25</v>
      </c>
      <c r="F17" s="295">
        <v>1.5</v>
      </c>
      <c r="G17" s="295">
        <v>1.5</v>
      </c>
      <c r="H17" s="295">
        <v>1.1000000000000001</v>
      </c>
      <c r="I17" s="295">
        <v>1.25</v>
      </c>
      <c r="J17" s="295">
        <v>1.5</v>
      </c>
      <c r="K17" s="295">
        <v>1.5</v>
      </c>
      <c r="L17" s="295">
        <v>1.25</v>
      </c>
      <c r="M17" s="295">
        <v>1.5</v>
      </c>
      <c r="N17" s="295">
        <v>3</v>
      </c>
      <c r="O17" s="71"/>
      <c r="P17" s="46"/>
      <c r="Q17" s="46"/>
      <c r="R17" s="46"/>
      <c r="S17" s="46"/>
      <c r="T17" s="11"/>
      <c r="U17" s="11"/>
      <c r="V17" s="11"/>
      <c r="W17" s="11"/>
      <c r="X17" s="11"/>
      <c r="Y17" s="11"/>
      <c r="Z17" s="11"/>
      <c r="AA17" s="11"/>
      <c r="AB17" s="11"/>
      <c r="AC17" s="11"/>
      <c r="AD17" s="11"/>
      <c r="AE17" s="11"/>
    </row>
    <row r="18" spans="2:57" x14ac:dyDescent="0.25">
      <c r="B18" s="291">
        <v>2024</v>
      </c>
      <c r="C18" s="178"/>
      <c r="D18" s="341">
        <v>1.1000000000000001</v>
      </c>
      <c r="E18" s="341">
        <v>1.25</v>
      </c>
      <c r="F18" s="341">
        <v>1.5</v>
      </c>
      <c r="G18" s="341">
        <v>1.7</v>
      </c>
      <c r="H18" s="341">
        <v>1.1000000000000001</v>
      </c>
      <c r="I18" s="341">
        <v>1.25</v>
      </c>
      <c r="J18" s="341">
        <v>1.5</v>
      </c>
      <c r="K18" s="341">
        <v>1.7</v>
      </c>
      <c r="L18" s="341">
        <v>1.25</v>
      </c>
      <c r="M18" s="341">
        <v>1.5</v>
      </c>
      <c r="N18" s="341">
        <v>3</v>
      </c>
      <c r="O18" s="71"/>
      <c r="P18" s="46"/>
      <c r="Q18" s="46"/>
      <c r="R18" s="46"/>
      <c r="S18" s="46"/>
      <c r="T18" s="11"/>
      <c r="U18" s="11"/>
      <c r="V18" s="11"/>
      <c r="W18" s="11"/>
      <c r="X18" s="11"/>
      <c r="Y18" s="11"/>
      <c r="Z18" s="11"/>
      <c r="AA18" s="11"/>
      <c r="AB18" s="11"/>
      <c r="AC18" s="11"/>
      <c r="AD18" s="11"/>
      <c r="AE18" s="11"/>
    </row>
    <row r="19" spans="2:57" ht="15.75" customHeight="1" x14ac:dyDescent="0.25"/>
    <row r="20" spans="2:57" x14ac:dyDescent="0.25">
      <c r="B20" s="322" t="s">
        <v>291</v>
      </c>
      <c r="C20" s="537"/>
      <c r="D20" s="538"/>
      <c r="E20" s="539"/>
      <c r="F20" s="538"/>
      <c r="G20" s="539"/>
      <c r="H20" s="538"/>
      <c r="I20" s="538"/>
      <c r="J20" s="538"/>
      <c r="K20" s="539"/>
      <c r="L20" s="539"/>
      <c r="M20" s="538"/>
      <c r="N20" s="538"/>
      <c r="O20" s="538"/>
      <c r="P20" s="539"/>
      <c r="Q20" s="539"/>
      <c r="R20" s="539"/>
      <c r="S20" s="539"/>
      <c r="T20" s="539"/>
      <c r="U20" s="539"/>
      <c r="V20" s="539"/>
      <c r="W20" s="539"/>
      <c r="X20" s="539"/>
      <c r="Y20" s="539"/>
      <c r="Z20" s="539"/>
      <c r="AA20" s="539"/>
      <c r="AB20" s="539"/>
      <c r="AC20" s="539"/>
      <c r="AD20" s="539"/>
      <c r="AE20" s="539"/>
    </row>
    <row r="21" spans="2:57" x14ac:dyDescent="0.25">
      <c r="B21" s="322" t="s">
        <v>292</v>
      </c>
      <c r="C21" s="537"/>
      <c r="D21" s="540"/>
      <c r="E21" s="540"/>
      <c r="F21" s="540"/>
      <c r="G21" s="540"/>
      <c r="H21" s="541"/>
      <c r="I21" s="540"/>
      <c r="J21" s="540"/>
      <c r="K21" s="540"/>
      <c r="L21" s="540"/>
      <c r="M21" s="540"/>
      <c r="N21" s="540"/>
      <c r="O21" s="540"/>
      <c r="P21" s="540"/>
      <c r="Q21" s="540"/>
      <c r="R21" s="540"/>
      <c r="S21" s="540"/>
      <c r="T21" s="542"/>
      <c r="U21" s="542"/>
      <c r="V21" s="542"/>
      <c r="W21" s="542"/>
      <c r="X21" s="542"/>
      <c r="Y21" s="542"/>
      <c r="Z21" s="542"/>
      <c r="AA21" s="542"/>
      <c r="AB21" s="542"/>
      <c r="AC21" s="542"/>
      <c r="AD21" s="542"/>
      <c r="AE21" s="542"/>
    </row>
    <row r="22" spans="2:57" ht="14.45" customHeight="1" x14ac:dyDescent="0.25">
      <c r="B22" s="632" t="s">
        <v>4</v>
      </c>
      <c r="C22" s="625"/>
      <c r="D22" s="616" t="s">
        <v>293</v>
      </c>
      <c r="E22" s="617"/>
      <c r="F22" s="617"/>
      <c r="G22" s="618"/>
      <c r="H22" s="616" t="s">
        <v>294</v>
      </c>
      <c r="I22" s="617"/>
      <c r="J22" s="617"/>
      <c r="K22" s="617"/>
      <c r="L22" s="617"/>
      <c r="M22" s="617"/>
      <c r="N22" s="617"/>
      <c r="O22" s="617"/>
      <c r="P22" s="617"/>
      <c r="Q22" s="617"/>
      <c r="R22" s="617"/>
      <c r="S22" s="618"/>
      <c r="T22" s="616" t="s">
        <v>295</v>
      </c>
      <c r="U22" s="617"/>
      <c r="V22" s="617"/>
      <c r="W22" s="617"/>
      <c r="X22" s="617"/>
      <c r="Y22" s="617"/>
      <c r="Z22" s="617"/>
      <c r="AA22" s="617"/>
      <c r="AB22" s="617"/>
      <c r="AC22" s="617"/>
      <c r="AD22" s="617"/>
      <c r="AE22" s="618"/>
    </row>
    <row r="23" spans="2:57" x14ac:dyDescent="0.25">
      <c r="B23" s="632"/>
      <c r="C23" s="625"/>
      <c r="D23" s="339" t="s">
        <v>265</v>
      </c>
      <c r="E23" s="339" t="s">
        <v>266</v>
      </c>
      <c r="F23" s="339" t="s">
        <v>267</v>
      </c>
      <c r="G23" s="339" t="s">
        <v>268</v>
      </c>
      <c r="H23" s="339" t="s">
        <v>231</v>
      </c>
      <c r="I23" s="339" t="s">
        <v>232</v>
      </c>
      <c r="J23" s="339" t="s">
        <v>233</v>
      </c>
      <c r="K23" s="339" t="s">
        <v>234</v>
      </c>
      <c r="L23" s="339" t="s">
        <v>200</v>
      </c>
      <c r="M23" s="339" t="s">
        <v>235</v>
      </c>
      <c r="N23" s="339" t="s">
        <v>236</v>
      </c>
      <c r="O23" s="339" t="s">
        <v>237</v>
      </c>
      <c r="P23" s="339" t="s">
        <v>238</v>
      </c>
      <c r="Q23" s="339" t="s">
        <v>239</v>
      </c>
      <c r="R23" s="339" t="s">
        <v>240</v>
      </c>
      <c r="S23" s="339" t="s">
        <v>241</v>
      </c>
      <c r="T23" s="339" t="s">
        <v>231</v>
      </c>
      <c r="U23" s="339" t="s">
        <v>232</v>
      </c>
      <c r="V23" s="339" t="s">
        <v>233</v>
      </c>
      <c r="W23" s="339" t="s">
        <v>234</v>
      </c>
      <c r="X23" s="339" t="s">
        <v>200</v>
      </c>
      <c r="Y23" s="339" t="s">
        <v>235</v>
      </c>
      <c r="Z23" s="339" t="s">
        <v>236</v>
      </c>
      <c r="AA23" s="339" t="s">
        <v>237</v>
      </c>
      <c r="AB23" s="339" t="s">
        <v>238</v>
      </c>
      <c r="AC23" s="339" t="s">
        <v>239</v>
      </c>
      <c r="AD23" s="339" t="s">
        <v>240</v>
      </c>
      <c r="AE23" s="339" t="s">
        <v>241</v>
      </c>
    </row>
    <row r="24" spans="2:57" x14ac:dyDescent="0.25">
      <c r="B24" s="291">
        <v>2023</v>
      </c>
      <c r="C24" s="178"/>
      <c r="D24" s="295">
        <v>1.53</v>
      </c>
      <c r="E24" s="295">
        <v>0.64</v>
      </c>
      <c r="F24" s="295">
        <v>0.49</v>
      </c>
      <c r="G24" s="295">
        <v>1.34</v>
      </c>
      <c r="H24" s="295">
        <v>1.82</v>
      </c>
      <c r="I24" s="295">
        <v>1.37</v>
      </c>
      <c r="J24" s="295">
        <v>1.41</v>
      </c>
      <c r="K24" s="295">
        <v>0.81</v>
      </c>
      <c r="L24" s="295">
        <v>0.61</v>
      </c>
      <c r="M24" s="295">
        <v>0.49</v>
      </c>
      <c r="N24" s="295">
        <v>0.39</v>
      </c>
      <c r="O24" s="295">
        <v>0.46</v>
      </c>
      <c r="P24" s="295">
        <v>0.62</v>
      </c>
      <c r="Q24" s="295">
        <v>1.07</v>
      </c>
      <c r="R24" s="295">
        <v>1.35</v>
      </c>
      <c r="S24" s="295">
        <v>1.6</v>
      </c>
      <c r="T24" s="295">
        <v>1.82</v>
      </c>
      <c r="U24" s="295">
        <v>1.37</v>
      </c>
      <c r="V24" s="295">
        <v>1.41</v>
      </c>
      <c r="W24" s="295">
        <v>0.81</v>
      </c>
      <c r="X24" s="295">
        <v>0.61</v>
      </c>
      <c r="Y24" s="295">
        <v>0.49</v>
      </c>
      <c r="Z24" s="295">
        <v>0.39</v>
      </c>
      <c r="AA24" s="295">
        <v>0.46</v>
      </c>
      <c r="AB24" s="295">
        <v>0.62</v>
      </c>
      <c r="AC24" s="295">
        <v>1.07</v>
      </c>
      <c r="AD24" s="295">
        <v>1.35</v>
      </c>
      <c r="AE24" s="295">
        <v>1.6</v>
      </c>
    </row>
    <row r="25" spans="2:57" x14ac:dyDescent="0.25">
      <c r="B25" s="291">
        <v>2024</v>
      </c>
      <c r="C25" s="178"/>
      <c r="D25" s="343">
        <f>+'Annex 2. Calc. of SFs_Unified'!C56</f>
        <v>1.5</v>
      </c>
      <c r="E25" s="343">
        <f>+'Annex 2. Calc. of SFs_Unified'!D56</f>
        <v>0.7</v>
      </c>
      <c r="F25" s="343">
        <f>+'Annex 2. Calc. of SFs_Unified'!E56</f>
        <v>0.49</v>
      </c>
      <c r="G25" s="343">
        <f>+'Annex 2. Calc. of SFs_Unified'!F56</f>
        <v>1.31</v>
      </c>
      <c r="H25" s="343">
        <f>+'Annex 2. Calc. of SFs_Unified'!C53</f>
        <v>1.73</v>
      </c>
      <c r="I25" s="343">
        <f>+'Annex 2. Calc. of SFs_Unified'!D53</f>
        <v>1.36</v>
      </c>
      <c r="J25" s="343">
        <f>+'Annex 2. Calc. of SFs_Unified'!E53</f>
        <v>1.39</v>
      </c>
      <c r="K25" s="343">
        <f>+'Annex 2. Calc. of SFs_Unified'!F53</f>
        <v>0.89</v>
      </c>
      <c r="L25" s="343">
        <f>+'Annex 2. Calc. of SFs_Unified'!G53</f>
        <v>0.7</v>
      </c>
      <c r="M25" s="343">
        <f>+'Annex 2. Calc. of SFs_Unified'!H53</f>
        <v>0.53</v>
      </c>
      <c r="N25" s="343">
        <f>+'Annex 2. Calc. of SFs_Unified'!I53</f>
        <v>0.43</v>
      </c>
      <c r="O25" s="343">
        <f>+'Annex 2. Calc. of SFs_Unified'!J53</f>
        <v>0.48</v>
      </c>
      <c r="P25" s="343">
        <f>+'Annex 2. Calc. of SFs_Unified'!K53</f>
        <v>0.56000000000000005</v>
      </c>
      <c r="Q25" s="343">
        <f>+'Annex 2. Calc. of SFs_Unified'!L53</f>
        <v>0.98</v>
      </c>
      <c r="R25" s="343">
        <f>+'Annex 2. Calc. of SFs_Unified'!M53</f>
        <v>1.28</v>
      </c>
      <c r="S25" s="343">
        <f>+'Annex 2. Calc. of SFs_Unified'!N53</f>
        <v>1.66</v>
      </c>
      <c r="T25" s="343">
        <f>+'Annex 2. Calc. of SFs_Unified'!C54</f>
        <v>1.73</v>
      </c>
      <c r="U25" s="343">
        <f>+'Annex 2. Calc. of SFs_Unified'!D54</f>
        <v>1.36</v>
      </c>
      <c r="V25" s="343">
        <f>+'Annex 2. Calc. of SFs_Unified'!E54</f>
        <v>1.39</v>
      </c>
      <c r="W25" s="343">
        <f>+'Annex 2. Calc. of SFs_Unified'!F54</f>
        <v>0.89</v>
      </c>
      <c r="X25" s="343">
        <f>+'Annex 2. Calc. of SFs_Unified'!G54</f>
        <v>0.7</v>
      </c>
      <c r="Y25" s="343">
        <f>+'Annex 2. Calc. of SFs_Unified'!H54</f>
        <v>0.53</v>
      </c>
      <c r="Z25" s="343">
        <f>+'Annex 2. Calc. of SFs_Unified'!I54</f>
        <v>0.43</v>
      </c>
      <c r="AA25" s="343">
        <f>+'Annex 2. Calc. of SFs_Unified'!J54</f>
        <v>0.48</v>
      </c>
      <c r="AB25" s="343">
        <f>+'Annex 2. Calc. of SFs_Unified'!K54</f>
        <v>0.56000000000000005</v>
      </c>
      <c r="AC25" s="343">
        <f>+'Annex 2. Calc. of SFs_Unified'!L54</f>
        <v>0.98</v>
      </c>
      <c r="AD25" s="343">
        <f>+'Annex 2. Calc. of SFs_Unified'!M54</f>
        <v>1.28</v>
      </c>
      <c r="AE25" s="343">
        <f>+'Annex 2. Calc. of SFs_Unified'!N54</f>
        <v>1.66</v>
      </c>
      <c r="AN25" s="362"/>
    </row>
    <row r="27" spans="2:57" x14ac:dyDescent="0.25">
      <c r="B27" s="322" t="s">
        <v>296</v>
      </c>
      <c r="C27" s="537"/>
      <c r="D27" s="538"/>
      <c r="E27" s="538"/>
      <c r="F27" s="538"/>
      <c r="G27" s="538"/>
      <c r="H27" s="538"/>
      <c r="I27" s="538"/>
      <c r="J27" s="538"/>
      <c r="K27" s="538"/>
      <c r="L27" s="538"/>
      <c r="M27" s="538"/>
      <c r="N27" s="538"/>
      <c r="O27" s="538"/>
      <c r="P27" s="538"/>
      <c r="Q27" s="538"/>
      <c r="R27" s="538"/>
      <c r="S27" s="538"/>
      <c r="T27" s="538"/>
      <c r="U27" s="538"/>
      <c r="V27" s="538"/>
      <c r="W27" s="538"/>
      <c r="X27" s="538"/>
      <c r="Y27" s="538"/>
      <c r="Z27" s="538"/>
      <c r="AA27" s="538"/>
      <c r="AB27" s="538"/>
      <c r="AC27" s="538"/>
      <c r="AD27" s="538"/>
      <c r="AE27" s="538"/>
    </row>
    <row r="28" spans="2:57" ht="14.45" customHeight="1" x14ac:dyDescent="0.25">
      <c r="B28" s="632" t="s">
        <v>4</v>
      </c>
      <c r="C28" s="625"/>
      <c r="D28" s="616" t="s">
        <v>293</v>
      </c>
      <c r="E28" s="617"/>
      <c r="F28" s="617"/>
      <c r="G28" s="618"/>
      <c r="H28" s="616" t="s">
        <v>294</v>
      </c>
      <c r="I28" s="617"/>
      <c r="J28" s="617"/>
      <c r="K28" s="617"/>
      <c r="L28" s="617"/>
      <c r="M28" s="617"/>
      <c r="N28" s="617"/>
      <c r="O28" s="617"/>
      <c r="P28" s="617"/>
      <c r="Q28" s="617"/>
      <c r="R28" s="617"/>
      <c r="S28" s="618"/>
      <c r="T28" s="616" t="s">
        <v>295</v>
      </c>
      <c r="U28" s="617"/>
      <c r="V28" s="617"/>
      <c r="W28" s="617"/>
      <c r="X28" s="617"/>
      <c r="Y28" s="617"/>
      <c r="Z28" s="617"/>
      <c r="AA28" s="617"/>
      <c r="AB28" s="617"/>
      <c r="AC28" s="617"/>
      <c r="AD28" s="617"/>
      <c r="AE28" s="618"/>
    </row>
    <row r="29" spans="2:57" x14ac:dyDescent="0.25">
      <c r="B29" s="632"/>
      <c r="C29" s="625"/>
      <c r="D29" s="339" t="s">
        <v>265</v>
      </c>
      <c r="E29" s="339" t="s">
        <v>266</v>
      </c>
      <c r="F29" s="339" t="s">
        <v>267</v>
      </c>
      <c r="G29" s="339" t="s">
        <v>268</v>
      </c>
      <c r="H29" s="339" t="s">
        <v>231</v>
      </c>
      <c r="I29" s="339" t="s">
        <v>232</v>
      </c>
      <c r="J29" s="339" t="s">
        <v>233</v>
      </c>
      <c r="K29" s="339" t="s">
        <v>234</v>
      </c>
      <c r="L29" s="339" t="s">
        <v>200</v>
      </c>
      <c r="M29" s="339" t="s">
        <v>235</v>
      </c>
      <c r="N29" s="339" t="s">
        <v>236</v>
      </c>
      <c r="O29" s="339" t="s">
        <v>237</v>
      </c>
      <c r="P29" s="339" t="s">
        <v>238</v>
      </c>
      <c r="Q29" s="339" t="s">
        <v>239</v>
      </c>
      <c r="R29" s="339" t="s">
        <v>240</v>
      </c>
      <c r="S29" s="339" t="s">
        <v>241</v>
      </c>
      <c r="T29" s="339" t="s">
        <v>231</v>
      </c>
      <c r="U29" s="339" t="s">
        <v>232</v>
      </c>
      <c r="V29" s="339" t="s">
        <v>233</v>
      </c>
      <c r="W29" s="339" t="s">
        <v>234</v>
      </c>
      <c r="X29" s="339" t="s">
        <v>200</v>
      </c>
      <c r="Y29" s="339" t="s">
        <v>235</v>
      </c>
      <c r="Z29" s="339" t="s">
        <v>236</v>
      </c>
      <c r="AA29" s="339" t="s">
        <v>237</v>
      </c>
      <c r="AB29" s="339" t="s">
        <v>238</v>
      </c>
      <c r="AC29" s="339" t="s">
        <v>239</v>
      </c>
      <c r="AD29" s="339" t="s">
        <v>240</v>
      </c>
      <c r="AE29" s="339" t="s">
        <v>241</v>
      </c>
    </row>
    <row r="30" spans="2:57" x14ac:dyDescent="0.25">
      <c r="B30" s="291">
        <v>2023</v>
      </c>
      <c r="C30" s="178"/>
      <c r="D30" s="295">
        <v>1.53</v>
      </c>
      <c r="E30" s="295">
        <v>0.64</v>
      </c>
      <c r="F30" s="295">
        <v>0.49</v>
      </c>
      <c r="G30" s="295">
        <v>1.34</v>
      </c>
      <c r="H30" s="295">
        <v>1.82</v>
      </c>
      <c r="I30" s="295">
        <v>1.37</v>
      </c>
      <c r="J30" s="295">
        <v>1.41</v>
      </c>
      <c r="K30" s="295">
        <v>0.81</v>
      </c>
      <c r="L30" s="295">
        <v>0.61</v>
      </c>
      <c r="M30" s="295">
        <v>0.49</v>
      </c>
      <c r="N30" s="295">
        <v>0.39</v>
      </c>
      <c r="O30" s="295">
        <v>0.46</v>
      </c>
      <c r="P30" s="295">
        <v>0.62</v>
      </c>
      <c r="Q30" s="295">
        <v>1.07</v>
      </c>
      <c r="R30" s="295">
        <v>1.35</v>
      </c>
      <c r="S30" s="295">
        <v>1.6</v>
      </c>
      <c r="T30" s="295">
        <v>1.82</v>
      </c>
      <c r="U30" s="295">
        <v>1.37</v>
      </c>
      <c r="V30" s="295">
        <v>1.41</v>
      </c>
      <c r="W30" s="295">
        <v>0.81</v>
      </c>
      <c r="X30" s="295">
        <v>0.61</v>
      </c>
      <c r="Y30" s="295">
        <v>0.49</v>
      </c>
      <c r="Z30" s="295">
        <v>0.39</v>
      </c>
      <c r="AA30" s="295">
        <v>0.46</v>
      </c>
      <c r="AB30" s="295">
        <v>0.62</v>
      </c>
      <c r="AC30" s="295">
        <v>1.07</v>
      </c>
      <c r="AD30" s="295">
        <v>1.35</v>
      </c>
      <c r="AE30" s="295">
        <v>1.6</v>
      </c>
      <c r="AG30" s="85"/>
      <c r="AH30" s="85"/>
      <c r="AI30" s="85"/>
      <c r="AJ30" s="85"/>
      <c r="AK30" s="85"/>
      <c r="AL30" s="85"/>
      <c r="AM30" s="85"/>
      <c r="AN30" s="85"/>
      <c r="AO30" s="85"/>
      <c r="AP30" s="85"/>
      <c r="AQ30" s="85"/>
      <c r="AR30" s="85"/>
      <c r="AS30" s="85"/>
      <c r="AT30" s="85"/>
      <c r="AU30" s="85"/>
      <c r="AV30" s="85"/>
      <c r="AW30" s="85"/>
      <c r="AX30" s="85"/>
      <c r="AY30" s="85"/>
      <c r="AZ30" s="85"/>
      <c r="BA30" s="85"/>
      <c r="BB30" s="85"/>
      <c r="BC30" s="85"/>
      <c r="BD30" s="85"/>
      <c r="BE30" s="85"/>
    </row>
    <row r="31" spans="2:57" x14ac:dyDescent="0.25">
      <c r="B31" s="291">
        <v>2024</v>
      </c>
      <c r="C31" s="178"/>
      <c r="D31" s="343">
        <f>+'Annex 2. Calc. of SFs_Unified'!C56</f>
        <v>1.5</v>
      </c>
      <c r="E31" s="343">
        <f>+'Annex 2. Calc. of SFs_Unified'!D56</f>
        <v>0.7</v>
      </c>
      <c r="F31" s="343">
        <f>+'Annex 2. Calc. of SFs_Unified'!E56</f>
        <v>0.49</v>
      </c>
      <c r="G31" s="343">
        <f>+'Annex 2. Calc. of SFs_Unified'!F56</f>
        <v>1.31</v>
      </c>
      <c r="H31" s="343">
        <f>+'Annex 2. Calc. of SFs_Unified'!C53</f>
        <v>1.73</v>
      </c>
      <c r="I31" s="343">
        <f>+'Annex 2. Calc. of SFs_Unified'!D53</f>
        <v>1.36</v>
      </c>
      <c r="J31" s="343">
        <f>+'Annex 2. Calc. of SFs_Unified'!E53</f>
        <v>1.39</v>
      </c>
      <c r="K31" s="343">
        <f>+'Annex 2. Calc. of SFs_Unified'!F53</f>
        <v>0.89</v>
      </c>
      <c r="L31" s="343">
        <f>+'Annex 2. Calc. of SFs_Unified'!G53</f>
        <v>0.7</v>
      </c>
      <c r="M31" s="343">
        <f>+'Annex 2. Calc. of SFs_Unified'!H53</f>
        <v>0.53</v>
      </c>
      <c r="N31" s="343">
        <f>+'Annex 2. Calc. of SFs_Unified'!I53</f>
        <v>0.43</v>
      </c>
      <c r="O31" s="343">
        <f>+'Annex 2. Calc. of SFs_Unified'!J53</f>
        <v>0.48</v>
      </c>
      <c r="P31" s="343">
        <f>+'Annex 2. Calc. of SFs_Unified'!K53</f>
        <v>0.56000000000000005</v>
      </c>
      <c r="Q31" s="343">
        <f>+'Annex 2. Calc. of SFs_Unified'!L53</f>
        <v>0.98</v>
      </c>
      <c r="R31" s="343">
        <f>+'Annex 2. Calc. of SFs_Unified'!M53</f>
        <v>1.28</v>
      </c>
      <c r="S31" s="343">
        <f>+'Annex 2. Calc. of SFs_Unified'!N53</f>
        <v>1.66</v>
      </c>
      <c r="T31" s="343">
        <f>+'Annex 2. Calc. of SFs_Unified'!C54</f>
        <v>1.73</v>
      </c>
      <c r="U31" s="343">
        <f>+'Annex 2. Calc. of SFs_Unified'!D54</f>
        <v>1.36</v>
      </c>
      <c r="V31" s="343">
        <f>+'Annex 2. Calc. of SFs_Unified'!E54</f>
        <v>1.39</v>
      </c>
      <c r="W31" s="343">
        <f>+'Annex 2. Calc. of SFs_Unified'!F54</f>
        <v>0.89</v>
      </c>
      <c r="X31" s="343">
        <f>+'Annex 2. Calc. of SFs_Unified'!G54</f>
        <v>0.7</v>
      </c>
      <c r="Y31" s="343">
        <f>+'Annex 2. Calc. of SFs_Unified'!H54</f>
        <v>0.53</v>
      </c>
      <c r="Z31" s="343">
        <f>+'Annex 2. Calc. of SFs_Unified'!I54</f>
        <v>0.43</v>
      </c>
      <c r="AA31" s="343">
        <f>+'Annex 2. Calc. of SFs_Unified'!J54</f>
        <v>0.48</v>
      </c>
      <c r="AB31" s="343">
        <f>+'Annex 2. Calc. of SFs_Unified'!K54</f>
        <v>0.56000000000000005</v>
      </c>
      <c r="AC31" s="343">
        <f>+'Annex 2. Calc. of SFs_Unified'!L54</f>
        <v>0.98</v>
      </c>
      <c r="AD31" s="343">
        <f>+'Annex 2. Calc. of SFs_Unified'!M54</f>
        <v>1.28</v>
      </c>
      <c r="AE31" s="343">
        <f>+'Annex 2. Calc. of SFs_Unified'!N54</f>
        <v>1.66</v>
      </c>
      <c r="AG31" s="85"/>
      <c r="AH31" s="85"/>
      <c r="AI31" s="85"/>
      <c r="AJ31" s="85"/>
      <c r="AK31" s="85"/>
      <c r="AL31" s="85"/>
      <c r="AM31" s="85"/>
      <c r="AN31" s="85"/>
      <c r="AO31" s="85"/>
      <c r="AP31" s="85"/>
      <c r="AQ31" s="85"/>
      <c r="AR31" s="85"/>
      <c r="AS31" s="85"/>
      <c r="AT31" s="85"/>
      <c r="AU31" s="85"/>
      <c r="AV31" s="85"/>
      <c r="AW31" s="85"/>
      <c r="AX31" s="85"/>
      <c r="AY31" s="85"/>
      <c r="AZ31" s="85"/>
      <c r="BA31" s="85"/>
      <c r="BB31" s="85"/>
      <c r="BC31" s="85"/>
      <c r="BD31" s="85"/>
      <c r="BE31" s="85"/>
    </row>
    <row r="33" spans="2:43" ht="18.600000000000001" hidden="1" customHeight="1" x14ac:dyDescent="0.25">
      <c r="B33" s="638" t="s">
        <v>55</v>
      </c>
      <c r="C33" s="639"/>
      <c r="D33" s="639"/>
      <c r="E33" s="639"/>
      <c r="F33" s="639"/>
      <c r="G33" s="639"/>
      <c r="H33" s="639"/>
      <c r="I33" s="639"/>
      <c r="J33" s="639"/>
      <c r="K33" s="639"/>
      <c r="L33" s="639"/>
      <c r="M33" s="639"/>
      <c r="N33" s="639"/>
      <c r="O33" s="639"/>
      <c r="P33" s="639"/>
      <c r="Q33" s="639"/>
      <c r="R33" s="639"/>
      <c r="S33" s="639"/>
      <c r="T33" s="639"/>
      <c r="U33" s="639"/>
      <c r="V33" s="639"/>
      <c r="W33" s="639"/>
      <c r="X33" s="639"/>
      <c r="Y33" s="639"/>
      <c r="Z33" s="639"/>
      <c r="AA33" s="639"/>
      <c r="AB33" s="639"/>
      <c r="AC33" s="639"/>
      <c r="AD33" s="639"/>
      <c r="AE33" s="639"/>
      <c r="AF33" s="639"/>
      <c r="AG33" s="639"/>
      <c r="AH33" s="639"/>
      <c r="AI33" s="639"/>
      <c r="AJ33" s="639"/>
      <c r="AK33" s="639"/>
      <c r="AL33" s="639"/>
      <c r="AM33" s="639"/>
      <c r="AN33" s="639"/>
      <c r="AO33" s="639"/>
      <c r="AP33" s="639"/>
      <c r="AQ33" s="640"/>
    </row>
    <row r="34" spans="2:43" ht="15.75" hidden="1" x14ac:dyDescent="0.25">
      <c r="B34" s="612" t="s">
        <v>137</v>
      </c>
      <c r="C34" s="613"/>
      <c r="D34" s="613"/>
      <c r="E34" s="613"/>
      <c r="F34" s="613"/>
      <c r="G34" s="613"/>
      <c r="H34" s="613"/>
      <c r="I34" s="613"/>
      <c r="J34" s="613"/>
      <c r="K34" s="613"/>
      <c r="L34" s="613"/>
      <c r="M34" s="613"/>
      <c r="N34" s="613"/>
      <c r="O34" s="613"/>
      <c r="P34" s="613"/>
      <c r="Q34" s="613"/>
      <c r="R34" s="613"/>
      <c r="S34" s="613"/>
      <c r="T34" s="613"/>
      <c r="U34" s="613"/>
      <c r="V34" s="613"/>
      <c r="W34" s="613"/>
      <c r="X34" s="613"/>
      <c r="Y34" s="613"/>
      <c r="Z34" s="613"/>
      <c r="AA34" s="613"/>
      <c r="AB34" s="613"/>
      <c r="AC34" s="613"/>
      <c r="AD34" s="613"/>
      <c r="AE34" s="613"/>
      <c r="AF34" s="613"/>
      <c r="AG34" s="613"/>
      <c r="AH34" s="613"/>
      <c r="AI34" s="613"/>
      <c r="AJ34" s="613"/>
      <c r="AK34" s="613"/>
      <c r="AL34" s="613"/>
      <c r="AM34" s="613"/>
      <c r="AN34" s="613"/>
      <c r="AO34" s="613"/>
      <c r="AP34" s="613"/>
      <c r="AQ34" s="614"/>
    </row>
    <row r="35" spans="2:43" ht="14.45" hidden="1" customHeight="1" x14ac:dyDescent="0.25">
      <c r="B35" s="349"/>
      <c r="C35" s="607" t="s">
        <v>63</v>
      </c>
      <c r="D35" s="633" t="s">
        <v>59</v>
      </c>
      <c r="E35" s="634"/>
      <c r="F35" s="634"/>
      <c r="G35" s="635"/>
      <c r="H35" s="633" t="s">
        <v>60</v>
      </c>
      <c r="I35" s="634"/>
      <c r="J35" s="634"/>
      <c r="K35" s="634"/>
      <c r="L35" s="634"/>
      <c r="M35" s="634"/>
      <c r="N35" s="634"/>
      <c r="O35" s="634"/>
      <c r="P35" s="634"/>
      <c r="Q35" s="634"/>
      <c r="R35" s="634"/>
      <c r="S35" s="635"/>
      <c r="T35" s="633" t="s">
        <v>61</v>
      </c>
      <c r="U35" s="634"/>
      <c r="V35" s="634"/>
      <c r="W35" s="634"/>
      <c r="X35" s="634"/>
      <c r="Y35" s="634"/>
      <c r="Z35" s="634"/>
      <c r="AA35" s="634"/>
      <c r="AB35" s="634"/>
      <c r="AC35" s="634"/>
      <c r="AD35" s="634"/>
      <c r="AE35" s="635"/>
      <c r="AF35" s="636" t="s">
        <v>62</v>
      </c>
      <c r="AG35" s="634"/>
      <c r="AH35" s="634"/>
      <c r="AI35" s="634"/>
      <c r="AJ35" s="634"/>
      <c r="AK35" s="634"/>
      <c r="AL35" s="634"/>
      <c r="AM35" s="634"/>
      <c r="AN35" s="634"/>
      <c r="AO35" s="634"/>
      <c r="AP35" s="634"/>
      <c r="AQ35" s="637"/>
    </row>
    <row r="36" spans="2:43" hidden="1" x14ac:dyDescent="0.25">
      <c r="B36" s="347" t="s">
        <v>56</v>
      </c>
      <c r="C36" s="608"/>
      <c r="D36" s="356" t="s">
        <v>47</v>
      </c>
      <c r="E36" s="357" t="s">
        <v>48</v>
      </c>
      <c r="F36" s="357" t="s">
        <v>49</v>
      </c>
      <c r="G36" s="358" t="s">
        <v>50</v>
      </c>
      <c r="H36" s="323" t="s">
        <v>34</v>
      </c>
      <c r="I36" s="339" t="s">
        <v>35</v>
      </c>
      <c r="J36" s="339" t="s">
        <v>36</v>
      </c>
      <c r="K36" s="339" t="s">
        <v>37</v>
      </c>
      <c r="L36" s="339" t="s">
        <v>38</v>
      </c>
      <c r="M36" s="339" t="s">
        <v>39</v>
      </c>
      <c r="N36" s="339" t="s">
        <v>40</v>
      </c>
      <c r="O36" s="339" t="s">
        <v>41</v>
      </c>
      <c r="P36" s="339" t="s">
        <v>42</v>
      </c>
      <c r="Q36" s="339" t="s">
        <v>43</v>
      </c>
      <c r="R36" s="339" t="s">
        <v>44</v>
      </c>
      <c r="S36" s="338" t="s">
        <v>45</v>
      </c>
      <c r="T36" s="323" t="s">
        <v>34</v>
      </c>
      <c r="U36" s="339" t="s">
        <v>35</v>
      </c>
      <c r="V36" s="339" t="s">
        <v>36</v>
      </c>
      <c r="W36" s="339" t="s">
        <v>37</v>
      </c>
      <c r="X36" s="339" t="s">
        <v>38</v>
      </c>
      <c r="Y36" s="339" t="s">
        <v>39</v>
      </c>
      <c r="Z36" s="339" t="s">
        <v>40</v>
      </c>
      <c r="AA36" s="339" t="s">
        <v>41</v>
      </c>
      <c r="AB36" s="339" t="s">
        <v>42</v>
      </c>
      <c r="AC36" s="339" t="s">
        <v>43</v>
      </c>
      <c r="AD36" s="339" t="s">
        <v>44</v>
      </c>
      <c r="AE36" s="338" t="s">
        <v>45</v>
      </c>
      <c r="AF36" s="324" t="s">
        <v>34</v>
      </c>
      <c r="AG36" s="339" t="s">
        <v>35</v>
      </c>
      <c r="AH36" s="339" t="s">
        <v>36</v>
      </c>
      <c r="AI36" s="339" t="s">
        <v>37</v>
      </c>
      <c r="AJ36" s="339" t="s">
        <v>38</v>
      </c>
      <c r="AK36" s="339" t="s">
        <v>39</v>
      </c>
      <c r="AL36" s="339" t="s">
        <v>40</v>
      </c>
      <c r="AM36" s="339" t="s">
        <v>41</v>
      </c>
      <c r="AN36" s="339" t="s">
        <v>42</v>
      </c>
      <c r="AO36" s="339" t="s">
        <v>43</v>
      </c>
      <c r="AP36" s="339" t="s">
        <v>44</v>
      </c>
      <c r="AQ36" s="348" t="s">
        <v>45</v>
      </c>
    </row>
    <row r="37" spans="2:43" hidden="1" x14ac:dyDescent="0.25">
      <c r="B37" s="347" t="s">
        <v>57</v>
      </c>
      <c r="C37" s="616"/>
      <c r="D37" s="303">
        <f>1/$C$11*D11*$D$17</f>
        <v>0.27123287671232882</v>
      </c>
      <c r="E37" s="296">
        <f>1/$C$11*E11*$D$17</f>
        <v>0.27424657534246577</v>
      </c>
      <c r="F37" s="296">
        <f>1/$C$11*F11*$D$17</f>
        <v>0.27726027397260278</v>
      </c>
      <c r="G37" s="298">
        <f>1/$C$11*G11*$D$17</f>
        <v>0.27726027397260278</v>
      </c>
      <c r="H37" s="301">
        <f>1/$C$11*H11*$E$17</f>
        <v>0.10616438356164383</v>
      </c>
      <c r="I37" s="301">
        <f t="shared" ref="I37:S37" si="0">1/$C$11*I11*$E$17</f>
        <v>9.5890410958904118E-2</v>
      </c>
      <c r="J37" s="301">
        <f t="shared" si="0"/>
        <v>0.10616438356164383</v>
      </c>
      <c r="K37" s="301">
        <f t="shared" si="0"/>
        <v>0.10273972602739725</v>
      </c>
      <c r="L37" s="301">
        <f t="shared" si="0"/>
        <v>0.10616438356164383</v>
      </c>
      <c r="M37" s="301">
        <f t="shared" si="0"/>
        <v>0.10273972602739725</v>
      </c>
      <c r="N37" s="301">
        <f t="shared" si="0"/>
        <v>0.10616438356164383</v>
      </c>
      <c r="O37" s="301">
        <f t="shared" si="0"/>
        <v>0.10616438356164383</v>
      </c>
      <c r="P37" s="301">
        <f t="shared" si="0"/>
        <v>0.10273972602739725</v>
      </c>
      <c r="Q37" s="301">
        <f t="shared" si="0"/>
        <v>0.10616438356164383</v>
      </c>
      <c r="R37" s="301">
        <f t="shared" si="0"/>
        <v>0.10273972602739725</v>
      </c>
      <c r="S37" s="298">
        <f t="shared" si="0"/>
        <v>0.10616438356164383</v>
      </c>
      <c r="T37" s="296">
        <f>1/$C$11*$F$17</f>
        <v>4.1095890410958909E-3</v>
      </c>
      <c r="U37" s="296">
        <f t="shared" ref="U37:AE37" si="1">1/$C$11*$F$17</f>
        <v>4.1095890410958909E-3</v>
      </c>
      <c r="V37" s="296">
        <f t="shared" si="1"/>
        <v>4.1095890410958909E-3</v>
      </c>
      <c r="W37" s="296">
        <f t="shared" si="1"/>
        <v>4.1095890410958909E-3</v>
      </c>
      <c r="X37" s="296">
        <f t="shared" si="1"/>
        <v>4.1095890410958909E-3</v>
      </c>
      <c r="Y37" s="296">
        <f t="shared" si="1"/>
        <v>4.1095890410958909E-3</v>
      </c>
      <c r="Z37" s="296">
        <f t="shared" si="1"/>
        <v>4.1095890410958909E-3</v>
      </c>
      <c r="AA37" s="296">
        <f t="shared" si="1"/>
        <v>4.1095890410958909E-3</v>
      </c>
      <c r="AB37" s="296">
        <f t="shared" si="1"/>
        <v>4.1095890410958909E-3</v>
      </c>
      <c r="AC37" s="296">
        <f t="shared" si="1"/>
        <v>4.1095890410958909E-3</v>
      </c>
      <c r="AD37" s="296">
        <f t="shared" si="1"/>
        <v>4.1095890410958909E-3</v>
      </c>
      <c r="AE37" s="298">
        <f t="shared" si="1"/>
        <v>4.1095890410958909E-3</v>
      </c>
      <c r="AF37" s="301">
        <f>1/$C$11*$G$17</f>
        <v>4.1095890410958909E-3</v>
      </c>
      <c r="AG37" s="301">
        <f t="shared" ref="AG37:AQ37" si="2">1/$C$11*$G$17</f>
        <v>4.1095890410958909E-3</v>
      </c>
      <c r="AH37" s="301">
        <f t="shared" si="2"/>
        <v>4.1095890410958909E-3</v>
      </c>
      <c r="AI37" s="301">
        <f t="shared" si="2"/>
        <v>4.1095890410958909E-3</v>
      </c>
      <c r="AJ37" s="301">
        <f t="shared" si="2"/>
        <v>4.1095890410958909E-3</v>
      </c>
      <c r="AK37" s="301">
        <f t="shared" si="2"/>
        <v>4.1095890410958909E-3</v>
      </c>
      <c r="AL37" s="301">
        <f t="shared" si="2"/>
        <v>4.1095890410958909E-3</v>
      </c>
      <c r="AM37" s="301">
        <f t="shared" si="2"/>
        <v>4.1095890410958909E-3</v>
      </c>
      <c r="AN37" s="301">
        <f t="shared" si="2"/>
        <v>4.1095890410958909E-3</v>
      </c>
      <c r="AO37" s="301">
        <f t="shared" si="2"/>
        <v>4.1095890410958909E-3</v>
      </c>
      <c r="AP37" s="301">
        <f t="shared" si="2"/>
        <v>4.1095890410958909E-3</v>
      </c>
      <c r="AQ37" s="363">
        <f t="shared" si="2"/>
        <v>4.1095890410958909E-3</v>
      </c>
    </row>
    <row r="38" spans="2:43" hidden="1" x14ac:dyDescent="0.25">
      <c r="B38" s="347" t="s">
        <v>80</v>
      </c>
      <c r="C38" s="616"/>
      <c r="D38" s="303">
        <f>1/$C$11*D11*$H$17</f>
        <v>0.27123287671232882</v>
      </c>
      <c r="E38" s="296">
        <f>1/$C$11*E11*$H$17</f>
        <v>0.27424657534246577</v>
      </c>
      <c r="F38" s="296">
        <f t="shared" ref="F38" si="3">1/$C$11*F11*$H$17</f>
        <v>0.27726027397260278</v>
      </c>
      <c r="G38" s="298">
        <f>1/$C$11*G11*$H$17</f>
        <v>0.27726027397260278</v>
      </c>
      <c r="H38" s="301">
        <f>1/$C$11*H11*$I$17</f>
        <v>0.10616438356164383</v>
      </c>
      <c r="I38" s="301">
        <f t="shared" ref="I38:S38" si="4">1/$C$11*I11*$I$17</f>
        <v>9.5890410958904118E-2</v>
      </c>
      <c r="J38" s="301">
        <f t="shared" si="4"/>
        <v>0.10616438356164383</v>
      </c>
      <c r="K38" s="301">
        <f t="shared" si="4"/>
        <v>0.10273972602739725</v>
      </c>
      <c r="L38" s="301">
        <f t="shared" si="4"/>
        <v>0.10616438356164383</v>
      </c>
      <c r="M38" s="301">
        <f t="shared" si="4"/>
        <v>0.10273972602739725</v>
      </c>
      <c r="N38" s="301">
        <f t="shared" si="4"/>
        <v>0.10616438356164383</v>
      </c>
      <c r="O38" s="301">
        <f t="shared" si="4"/>
        <v>0.10616438356164383</v>
      </c>
      <c r="P38" s="301">
        <f t="shared" si="4"/>
        <v>0.10273972602739725</v>
      </c>
      <c r="Q38" s="301">
        <f t="shared" si="4"/>
        <v>0.10616438356164383</v>
      </c>
      <c r="R38" s="301">
        <f t="shared" si="4"/>
        <v>0.10273972602739725</v>
      </c>
      <c r="S38" s="298">
        <f t="shared" si="4"/>
        <v>0.10616438356164383</v>
      </c>
      <c r="T38" s="296">
        <f>1/$C$11*$J$17</f>
        <v>4.1095890410958909E-3</v>
      </c>
      <c r="U38" s="296">
        <f t="shared" ref="U38:AE38" si="5">1/$C$11*$J$17</f>
        <v>4.1095890410958909E-3</v>
      </c>
      <c r="V38" s="296">
        <f t="shared" si="5"/>
        <v>4.1095890410958909E-3</v>
      </c>
      <c r="W38" s="296">
        <f t="shared" si="5"/>
        <v>4.1095890410958909E-3</v>
      </c>
      <c r="X38" s="296">
        <f t="shared" si="5"/>
        <v>4.1095890410958909E-3</v>
      </c>
      <c r="Y38" s="296">
        <f t="shared" si="5"/>
        <v>4.1095890410958909E-3</v>
      </c>
      <c r="Z38" s="296">
        <f t="shared" si="5"/>
        <v>4.1095890410958909E-3</v>
      </c>
      <c r="AA38" s="296">
        <f t="shared" si="5"/>
        <v>4.1095890410958909E-3</v>
      </c>
      <c r="AB38" s="296">
        <f t="shared" si="5"/>
        <v>4.1095890410958909E-3</v>
      </c>
      <c r="AC38" s="296">
        <f t="shared" si="5"/>
        <v>4.1095890410958909E-3</v>
      </c>
      <c r="AD38" s="296">
        <f t="shared" si="5"/>
        <v>4.1095890410958909E-3</v>
      </c>
      <c r="AE38" s="298">
        <f t="shared" si="5"/>
        <v>4.1095890410958909E-3</v>
      </c>
      <c r="AF38" s="301">
        <f>1/$C$11*$K$17</f>
        <v>4.1095890410958909E-3</v>
      </c>
      <c r="AG38" s="301">
        <f t="shared" ref="AG38:AQ38" si="6">1/$C$11*$K$17</f>
        <v>4.1095890410958909E-3</v>
      </c>
      <c r="AH38" s="301">
        <f t="shared" si="6"/>
        <v>4.1095890410958909E-3</v>
      </c>
      <c r="AI38" s="301">
        <f t="shared" si="6"/>
        <v>4.1095890410958909E-3</v>
      </c>
      <c r="AJ38" s="301">
        <f t="shared" si="6"/>
        <v>4.1095890410958909E-3</v>
      </c>
      <c r="AK38" s="301">
        <f t="shared" si="6"/>
        <v>4.1095890410958909E-3</v>
      </c>
      <c r="AL38" s="301">
        <f t="shared" si="6"/>
        <v>4.1095890410958909E-3</v>
      </c>
      <c r="AM38" s="301">
        <f t="shared" si="6"/>
        <v>4.1095890410958909E-3</v>
      </c>
      <c r="AN38" s="301">
        <f t="shared" si="6"/>
        <v>4.1095890410958909E-3</v>
      </c>
      <c r="AO38" s="301">
        <f t="shared" si="6"/>
        <v>4.1095890410958909E-3</v>
      </c>
      <c r="AP38" s="301">
        <f t="shared" si="6"/>
        <v>4.1095890410958909E-3</v>
      </c>
      <c r="AQ38" s="363">
        <f t="shared" si="6"/>
        <v>4.1095890410958909E-3</v>
      </c>
    </row>
    <row r="39" spans="2:43" hidden="1" x14ac:dyDescent="0.25">
      <c r="B39" s="347" t="s">
        <v>58</v>
      </c>
      <c r="C39" s="616"/>
      <c r="D39" s="303">
        <f>1/$C$11*D11*$L$17*D30</f>
        <v>0.47157534246575344</v>
      </c>
      <c r="E39" s="296">
        <f>1/$C$11*E11*$L$17*E30</f>
        <v>0.19945205479452058</v>
      </c>
      <c r="F39" s="296">
        <f>1/$C$11*F11*$L$17*F30</f>
        <v>0.15438356164383563</v>
      </c>
      <c r="G39" s="298">
        <f>1/$C$11*G11*$L$17*G30</f>
        <v>0.42219178082191788</v>
      </c>
      <c r="H39" s="301">
        <f t="shared" ref="H39:S39" si="7">1/$C$11*H11*$M$17*H30</f>
        <v>0.23186301369863016</v>
      </c>
      <c r="I39" s="301">
        <f>1/$C$11*I11*$M$17*I30</f>
        <v>0.15764383561643835</v>
      </c>
      <c r="J39" s="301">
        <f t="shared" si="7"/>
        <v>0.17963013698630137</v>
      </c>
      <c r="K39" s="301">
        <f t="shared" si="7"/>
        <v>9.986301369863014E-2</v>
      </c>
      <c r="L39" s="301">
        <f t="shared" si="7"/>
        <v>7.7712328767123293E-2</v>
      </c>
      <c r="M39" s="301">
        <f t="shared" si="7"/>
        <v>6.0410958904109587E-2</v>
      </c>
      <c r="N39" s="301">
        <f t="shared" si="7"/>
        <v>4.9684931506849321E-2</v>
      </c>
      <c r="O39" s="301">
        <f t="shared" si="7"/>
        <v>5.8602739726027399E-2</v>
      </c>
      <c r="P39" s="301">
        <f t="shared" si="7"/>
        <v>7.6438356164383561E-2</v>
      </c>
      <c r="Q39" s="301">
        <f t="shared" si="7"/>
        <v>0.1363150684931507</v>
      </c>
      <c r="R39" s="301">
        <f t="shared" si="7"/>
        <v>0.16643835616438357</v>
      </c>
      <c r="S39" s="298">
        <f t="shared" si="7"/>
        <v>0.20383561643835618</v>
      </c>
      <c r="T39" s="296">
        <f>1/$C$11*$N$17*T30</f>
        <v>1.4958904109589043E-2</v>
      </c>
      <c r="U39" s="296">
        <f t="shared" ref="U39:AE39" si="8">1/$C$11*$N$17*U30</f>
        <v>1.1260273972602743E-2</v>
      </c>
      <c r="V39" s="296">
        <f t="shared" si="8"/>
        <v>1.1589041095890412E-2</v>
      </c>
      <c r="W39" s="296">
        <f t="shared" si="8"/>
        <v>6.657534246575344E-3</v>
      </c>
      <c r="X39" s="296">
        <f t="shared" si="8"/>
        <v>5.0136986301369865E-3</v>
      </c>
      <c r="Y39" s="296">
        <f t="shared" si="8"/>
        <v>4.0273972602739728E-3</v>
      </c>
      <c r="Z39" s="296">
        <f t="shared" si="8"/>
        <v>3.2054794520547949E-3</v>
      </c>
      <c r="AA39" s="296">
        <f t="shared" si="8"/>
        <v>3.7808219178082198E-3</v>
      </c>
      <c r="AB39" s="296">
        <f t="shared" si="8"/>
        <v>5.0958904109589045E-3</v>
      </c>
      <c r="AC39" s="296">
        <f t="shared" si="8"/>
        <v>8.7945205479452067E-3</v>
      </c>
      <c r="AD39" s="296">
        <f t="shared" si="8"/>
        <v>1.1095890410958906E-2</v>
      </c>
      <c r="AE39" s="298">
        <f t="shared" si="8"/>
        <v>1.3150684931506852E-2</v>
      </c>
      <c r="AF39" s="301">
        <f>1/$C$11*$N$17*T30</f>
        <v>1.4958904109589043E-2</v>
      </c>
      <c r="AG39" s="301">
        <f t="shared" ref="AG39:AQ39" si="9">1/$C$11*$N$17*U30</f>
        <v>1.1260273972602743E-2</v>
      </c>
      <c r="AH39" s="301">
        <f t="shared" si="9"/>
        <v>1.1589041095890412E-2</v>
      </c>
      <c r="AI39" s="301">
        <f t="shared" si="9"/>
        <v>6.657534246575344E-3</v>
      </c>
      <c r="AJ39" s="301">
        <f t="shared" si="9"/>
        <v>5.0136986301369865E-3</v>
      </c>
      <c r="AK39" s="301">
        <f t="shared" si="9"/>
        <v>4.0273972602739728E-3</v>
      </c>
      <c r="AL39" s="301">
        <f t="shared" si="9"/>
        <v>3.2054794520547949E-3</v>
      </c>
      <c r="AM39" s="301">
        <f t="shared" si="9"/>
        <v>3.7808219178082198E-3</v>
      </c>
      <c r="AN39" s="301">
        <f t="shared" si="9"/>
        <v>5.0958904109589045E-3</v>
      </c>
      <c r="AO39" s="301">
        <f t="shared" si="9"/>
        <v>8.7945205479452067E-3</v>
      </c>
      <c r="AP39" s="301">
        <f t="shared" si="9"/>
        <v>1.1095890410958906E-2</v>
      </c>
      <c r="AQ39" s="363">
        <f t="shared" si="9"/>
        <v>1.3150684931506852E-2</v>
      </c>
    </row>
    <row r="40" spans="2:43" hidden="1" x14ac:dyDescent="0.25">
      <c r="B40" s="347" t="s">
        <v>81</v>
      </c>
      <c r="C40" s="616"/>
      <c r="D40" s="303">
        <f>1/$C$11*D11*$L$17*D24</f>
        <v>0.47157534246575344</v>
      </c>
      <c r="E40" s="296">
        <f>1/$C$11*E11*$L$17*E24</f>
        <v>0.19945205479452058</v>
      </c>
      <c r="F40" s="296">
        <f>1/$C$11*F11*$L$17*F24</f>
        <v>0.15438356164383563</v>
      </c>
      <c r="G40" s="298">
        <f>1/$C$11*G11*$L$17*G24</f>
        <v>0.42219178082191788</v>
      </c>
      <c r="H40" s="301">
        <f>1/$C$11*H11*$M$17*H24</f>
        <v>0.23186301369863016</v>
      </c>
      <c r="I40" s="301">
        <f t="shared" ref="I40:S40" si="10">1/$C$11*I11*$M$17*I24</f>
        <v>0.15764383561643835</v>
      </c>
      <c r="J40" s="301">
        <f t="shared" si="10"/>
        <v>0.17963013698630137</v>
      </c>
      <c r="K40" s="301">
        <f t="shared" si="10"/>
        <v>9.986301369863014E-2</v>
      </c>
      <c r="L40" s="301">
        <f t="shared" si="10"/>
        <v>7.7712328767123293E-2</v>
      </c>
      <c r="M40" s="301">
        <f t="shared" si="10"/>
        <v>6.0410958904109587E-2</v>
      </c>
      <c r="N40" s="301">
        <f t="shared" si="10"/>
        <v>4.9684931506849321E-2</v>
      </c>
      <c r="O40" s="301">
        <f t="shared" si="10"/>
        <v>5.8602739726027399E-2</v>
      </c>
      <c r="P40" s="301">
        <f t="shared" si="10"/>
        <v>7.6438356164383561E-2</v>
      </c>
      <c r="Q40" s="301">
        <f t="shared" si="10"/>
        <v>0.1363150684931507</v>
      </c>
      <c r="R40" s="301">
        <f t="shared" si="10"/>
        <v>0.16643835616438357</v>
      </c>
      <c r="S40" s="298">
        <f t="shared" si="10"/>
        <v>0.20383561643835618</v>
      </c>
      <c r="T40" s="296">
        <f>1/$C$11*$N$17*T24</f>
        <v>1.4958904109589043E-2</v>
      </c>
      <c r="U40" s="296">
        <f t="shared" ref="U40:AE40" si="11">1/$C$11*$N$17*U24</f>
        <v>1.1260273972602743E-2</v>
      </c>
      <c r="V40" s="296">
        <f t="shared" si="11"/>
        <v>1.1589041095890412E-2</v>
      </c>
      <c r="W40" s="296">
        <f t="shared" si="11"/>
        <v>6.657534246575344E-3</v>
      </c>
      <c r="X40" s="296">
        <f t="shared" si="11"/>
        <v>5.0136986301369865E-3</v>
      </c>
      <c r="Y40" s="296">
        <f t="shared" si="11"/>
        <v>4.0273972602739728E-3</v>
      </c>
      <c r="Z40" s="296">
        <f t="shared" si="11"/>
        <v>3.2054794520547949E-3</v>
      </c>
      <c r="AA40" s="296">
        <f t="shared" si="11"/>
        <v>3.7808219178082198E-3</v>
      </c>
      <c r="AB40" s="296">
        <f t="shared" si="11"/>
        <v>5.0958904109589045E-3</v>
      </c>
      <c r="AC40" s="296">
        <f t="shared" si="11"/>
        <v>8.7945205479452067E-3</v>
      </c>
      <c r="AD40" s="296">
        <f t="shared" si="11"/>
        <v>1.1095890410958906E-2</v>
      </c>
      <c r="AE40" s="298">
        <f t="shared" si="11"/>
        <v>1.3150684931506852E-2</v>
      </c>
      <c r="AF40" s="301">
        <f>1/$C$11*$N$17*T24</f>
        <v>1.4958904109589043E-2</v>
      </c>
      <c r="AG40" s="301">
        <f t="shared" ref="AG40:AQ40" si="12">1/$C$11*$N$17*U24</f>
        <v>1.1260273972602743E-2</v>
      </c>
      <c r="AH40" s="301">
        <f t="shared" si="12"/>
        <v>1.1589041095890412E-2</v>
      </c>
      <c r="AI40" s="301">
        <f t="shared" si="12"/>
        <v>6.657534246575344E-3</v>
      </c>
      <c r="AJ40" s="301">
        <f t="shared" si="12"/>
        <v>5.0136986301369865E-3</v>
      </c>
      <c r="AK40" s="301">
        <f t="shared" si="12"/>
        <v>4.0273972602739728E-3</v>
      </c>
      <c r="AL40" s="301">
        <f t="shared" si="12"/>
        <v>3.2054794520547949E-3</v>
      </c>
      <c r="AM40" s="301">
        <f t="shared" si="12"/>
        <v>3.7808219178082198E-3</v>
      </c>
      <c r="AN40" s="301">
        <f t="shared" si="12"/>
        <v>5.0958904109589045E-3</v>
      </c>
      <c r="AO40" s="301">
        <f t="shared" si="12"/>
        <v>8.7945205479452067E-3</v>
      </c>
      <c r="AP40" s="301">
        <f t="shared" si="12"/>
        <v>1.1095890410958906E-2</v>
      </c>
      <c r="AQ40" s="363">
        <f t="shared" si="12"/>
        <v>1.3150684931506852E-2</v>
      </c>
    </row>
    <row r="41" spans="2:43" hidden="1" x14ac:dyDescent="0.25">
      <c r="B41" s="349" t="s">
        <v>65</v>
      </c>
      <c r="C41" s="316">
        <f>ROUND('Annex 2. Prices 2024'!E120,2)</f>
        <v>142.77000000000001</v>
      </c>
      <c r="D41" s="359">
        <f>$C$41*D37</f>
        <v>38.723917808219191</v>
      </c>
      <c r="E41" s="360">
        <f>$C$41*E37</f>
        <v>39.154183561643841</v>
      </c>
      <c r="F41" s="360">
        <f>$C$41*F37</f>
        <v>39.584449315068504</v>
      </c>
      <c r="G41" s="361">
        <f>$C$41*G37</f>
        <v>39.584449315068504</v>
      </c>
      <c r="H41" s="304">
        <f>$C$41*H37</f>
        <v>15.15708904109589</v>
      </c>
      <c r="I41" s="295">
        <f t="shared" ref="I41:AP41" si="13">$C$41*I37</f>
        <v>13.690273972602743</v>
      </c>
      <c r="J41" s="295">
        <f t="shared" si="13"/>
        <v>15.15708904109589</v>
      </c>
      <c r="K41" s="295">
        <f t="shared" si="13"/>
        <v>14.668150684931508</v>
      </c>
      <c r="L41" s="295">
        <f t="shared" si="13"/>
        <v>15.15708904109589</v>
      </c>
      <c r="M41" s="295">
        <f t="shared" si="13"/>
        <v>14.668150684931508</v>
      </c>
      <c r="N41" s="295">
        <f t="shared" si="13"/>
        <v>15.15708904109589</v>
      </c>
      <c r="O41" s="295">
        <f t="shared" si="13"/>
        <v>15.15708904109589</v>
      </c>
      <c r="P41" s="295">
        <f t="shared" si="13"/>
        <v>14.668150684931508</v>
      </c>
      <c r="Q41" s="295">
        <f t="shared" si="13"/>
        <v>15.15708904109589</v>
      </c>
      <c r="R41" s="295">
        <f t="shared" si="13"/>
        <v>14.668150684931508</v>
      </c>
      <c r="S41" s="299">
        <f t="shared" si="13"/>
        <v>15.15708904109589</v>
      </c>
      <c r="T41" s="304">
        <f t="shared" si="13"/>
        <v>0.58672602739726043</v>
      </c>
      <c r="U41" s="295">
        <f>$C$41*U37</f>
        <v>0.58672602739726043</v>
      </c>
      <c r="V41" s="295">
        <f t="shared" si="13"/>
        <v>0.58672602739726043</v>
      </c>
      <c r="W41" s="295">
        <f t="shared" si="13"/>
        <v>0.58672602739726043</v>
      </c>
      <c r="X41" s="295">
        <f t="shared" si="13"/>
        <v>0.58672602739726043</v>
      </c>
      <c r="Y41" s="295">
        <f t="shared" si="13"/>
        <v>0.58672602739726043</v>
      </c>
      <c r="Z41" s="295">
        <f t="shared" si="13"/>
        <v>0.58672602739726043</v>
      </c>
      <c r="AA41" s="295">
        <f t="shared" si="13"/>
        <v>0.58672602739726043</v>
      </c>
      <c r="AB41" s="295">
        <f t="shared" si="13"/>
        <v>0.58672602739726043</v>
      </c>
      <c r="AC41" s="295">
        <f t="shared" si="13"/>
        <v>0.58672602739726043</v>
      </c>
      <c r="AD41" s="295">
        <f t="shared" si="13"/>
        <v>0.58672602739726043</v>
      </c>
      <c r="AE41" s="299">
        <f t="shared" si="13"/>
        <v>0.58672602739726043</v>
      </c>
      <c r="AF41" s="302">
        <f t="shared" si="13"/>
        <v>0.58672602739726043</v>
      </c>
      <c r="AG41" s="295">
        <f t="shared" si="13"/>
        <v>0.58672602739726043</v>
      </c>
      <c r="AH41" s="295">
        <f t="shared" si="13"/>
        <v>0.58672602739726043</v>
      </c>
      <c r="AI41" s="295">
        <f t="shared" si="13"/>
        <v>0.58672602739726043</v>
      </c>
      <c r="AJ41" s="295">
        <f t="shared" si="13"/>
        <v>0.58672602739726043</v>
      </c>
      <c r="AK41" s="295">
        <f t="shared" si="13"/>
        <v>0.58672602739726043</v>
      </c>
      <c r="AL41" s="295">
        <f t="shared" si="13"/>
        <v>0.58672602739726043</v>
      </c>
      <c r="AM41" s="295">
        <f t="shared" si="13"/>
        <v>0.58672602739726043</v>
      </c>
      <c r="AN41" s="295">
        <f t="shared" si="13"/>
        <v>0.58672602739726043</v>
      </c>
      <c r="AO41" s="295">
        <f t="shared" si="13"/>
        <v>0.58672602739726043</v>
      </c>
      <c r="AP41" s="295">
        <f t="shared" si="13"/>
        <v>0.58672602739726043</v>
      </c>
      <c r="AQ41" s="364">
        <f>$C$41*AQ37</f>
        <v>0.58672602739726043</v>
      </c>
    </row>
    <row r="42" spans="2:43" hidden="1" x14ac:dyDescent="0.25">
      <c r="B42" s="349" t="s">
        <v>66</v>
      </c>
      <c r="C42" s="316">
        <f>ROUND('Annex 2. Prices 2024'!E122,2)</f>
        <v>35.96</v>
      </c>
      <c r="D42" s="304">
        <f>$C$42*D37</f>
        <v>9.7535342465753452</v>
      </c>
      <c r="E42" s="295">
        <f t="shared" ref="E42:AQ42" si="14">$C$42*E37</f>
        <v>9.8619068493150692</v>
      </c>
      <c r="F42" s="295">
        <f t="shared" si="14"/>
        <v>9.9702794520547968</v>
      </c>
      <c r="G42" s="299">
        <f t="shared" si="14"/>
        <v>9.9702794520547968</v>
      </c>
      <c r="H42" s="304">
        <f t="shared" si="14"/>
        <v>3.8176712328767124</v>
      </c>
      <c r="I42" s="295">
        <f t="shared" si="14"/>
        <v>3.448219178082192</v>
      </c>
      <c r="J42" s="295">
        <f t="shared" si="14"/>
        <v>3.8176712328767124</v>
      </c>
      <c r="K42" s="295">
        <f t="shared" si="14"/>
        <v>3.6945205479452055</v>
      </c>
      <c r="L42" s="295">
        <f t="shared" si="14"/>
        <v>3.8176712328767124</v>
      </c>
      <c r="M42" s="295">
        <f t="shared" si="14"/>
        <v>3.6945205479452055</v>
      </c>
      <c r="N42" s="295">
        <f t="shared" si="14"/>
        <v>3.8176712328767124</v>
      </c>
      <c r="O42" s="295">
        <f t="shared" si="14"/>
        <v>3.8176712328767124</v>
      </c>
      <c r="P42" s="295">
        <f t="shared" si="14"/>
        <v>3.6945205479452055</v>
      </c>
      <c r="Q42" s="295">
        <f t="shared" si="14"/>
        <v>3.8176712328767124</v>
      </c>
      <c r="R42" s="295">
        <f t="shared" si="14"/>
        <v>3.6945205479452055</v>
      </c>
      <c r="S42" s="299">
        <f t="shared" si="14"/>
        <v>3.8176712328767124</v>
      </c>
      <c r="T42" s="304">
        <f>$C$42*T37</f>
        <v>0.14778082191780825</v>
      </c>
      <c r="U42" s="295">
        <f t="shared" si="14"/>
        <v>0.14778082191780825</v>
      </c>
      <c r="V42" s="295">
        <f t="shared" si="14"/>
        <v>0.14778082191780825</v>
      </c>
      <c r="W42" s="295">
        <f t="shared" si="14"/>
        <v>0.14778082191780825</v>
      </c>
      <c r="X42" s="295">
        <f t="shared" si="14"/>
        <v>0.14778082191780825</v>
      </c>
      <c r="Y42" s="295">
        <f t="shared" si="14"/>
        <v>0.14778082191780825</v>
      </c>
      <c r="Z42" s="295">
        <f t="shared" si="14"/>
        <v>0.14778082191780825</v>
      </c>
      <c r="AA42" s="295">
        <f t="shared" si="14"/>
        <v>0.14778082191780825</v>
      </c>
      <c r="AB42" s="295">
        <f t="shared" si="14"/>
        <v>0.14778082191780825</v>
      </c>
      <c r="AC42" s="295">
        <f t="shared" si="14"/>
        <v>0.14778082191780825</v>
      </c>
      <c r="AD42" s="295">
        <f t="shared" si="14"/>
        <v>0.14778082191780825</v>
      </c>
      <c r="AE42" s="299">
        <f t="shared" si="14"/>
        <v>0.14778082191780825</v>
      </c>
      <c r="AF42" s="302">
        <f t="shared" si="14"/>
        <v>0.14778082191780825</v>
      </c>
      <c r="AG42" s="295">
        <f t="shared" si="14"/>
        <v>0.14778082191780825</v>
      </c>
      <c r="AH42" s="295">
        <f t="shared" si="14"/>
        <v>0.14778082191780825</v>
      </c>
      <c r="AI42" s="295">
        <f t="shared" si="14"/>
        <v>0.14778082191780825</v>
      </c>
      <c r="AJ42" s="295">
        <f t="shared" si="14"/>
        <v>0.14778082191780825</v>
      </c>
      <c r="AK42" s="295">
        <f t="shared" si="14"/>
        <v>0.14778082191780825</v>
      </c>
      <c r="AL42" s="295">
        <f t="shared" si="14"/>
        <v>0.14778082191780825</v>
      </c>
      <c r="AM42" s="295">
        <f t="shared" si="14"/>
        <v>0.14778082191780825</v>
      </c>
      <c r="AN42" s="295">
        <f t="shared" si="14"/>
        <v>0.14778082191780825</v>
      </c>
      <c r="AO42" s="295">
        <f t="shared" si="14"/>
        <v>0.14778082191780825</v>
      </c>
      <c r="AP42" s="295">
        <f t="shared" si="14"/>
        <v>0.14778082191780825</v>
      </c>
      <c r="AQ42" s="364">
        <f t="shared" si="14"/>
        <v>0.14778082191780825</v>
      </c>
    </row>
    <row r="43" spans="2:43" hidden="1" x14ac:dyDescent="0.25">
      <c r="B43" s="349" t="s">
        <v>67</v>
      </c>
      <c r="C43" s="316">
        <f>ROUND('Annex 2. Prices 2024'!E123,2)</f>
        <v>142.77000000000001</v>
      </c>
      <c r="D43" s="304">
        <f>$C$43*D37</f>
        <v>38.723917808219191</v>
      </c>
      <c r="E43" s="295">
        <f t="shared" ref="E43:AQ43" si="15">$C$43*E37</f>
        <v>39.154183561643841</v>
      </c>
      <c r="F43" s="295">
        <f t="shared" si="15"/>
        <v>39.584449315068504</v>
      </c>
      <c r="G43" s="299">
        <f t="shared" si="15"/>
        <v>39.584449315068504</v>
      </c>
      <c r="H43" s="304">
        <f t="shared" si="15"/>
        <v>15.15708904109589</v>
      </c>
      <c r="I43" s="295">
        <f t="shared" si="15"/>
        <v>13.690273972602743</v>
      </c>
      <c r="J43" s="295">
        <f t="shared" si="15"/>
        <v>15.15708904109589</v>
      </c>
      <c r="K43" s="295">
        <f t="shared" si="15"/>
        <v>14.668150684931508</v>
      </c>
      <c r="L43" s="295">
        <f t="shared" si="15"/>
        <v>15.15708904109589</v>
      </c>
      <c r="M43" s="295">
        <f t="shared" si="15"/>
        <v>14.668150684931508</v>
      </c>
      <c r="N43" s="295">
        <f t="shared" si="15"/>
        <v>15.15708904109589</v>
      </c>
      <c r="O43" s="295">
        <f t="shared" si="15"/>
        <v>15.15708904109589</v>
      </c>
      <c r="P43" s="295">
        <f t="shared" si="15"/>
        <v>14.668150684931508</v>
      </c>
      <c r="Q43" s="295">
        <f t="shared" si="15"/>
        <v>15.15708904109589</v>
      </c>
      <c r="R43" s="295">
        <f t="shared" si="15"/>
        <v>14.668150684931508</v>
      </c>
      <c r="S43" s="299">
        <f t="shared" si="15"/>
        <v>15.15708904109589</v>
      </c>
      <c r="T43" s="304">
        <f t="shared" si="15"/>
        <v>0.58672602739726043</v>
      </c>
      <c r="U43" s="295">
        <f t="shared" si="15"/>
        <v>0.58672602739726043</v>
      </c>
      <c r="V43" s="295">
        <f t="shared" si="15"/>
        <v>0.58672602739726043</v>
      </c>
      <c r="W43" s="295">
        <f t="shared" si="15"/>
        <v>0.58672602739726043</v>
      </c>
      <c r="X43" s="295">
        <f t="shared" si="15"/>
        <v>0.58672602739726043</v>
      </c>
      <c r="Y43" s="295">
        <f t="shared" si="15"/>
        <v>0.58672602739726043</v>
      </c>
      <c r="Z43" s="295">
        <f t="shared" si="15"/>
        <v>0.58672602739726043</v>
      </c>
      <c r="AA43" s="295">
        <f t="shared" si="15"/>
        <v>0.58672602739726043</v>
      </c>
      <c r="AB43" s="295">
        <f t="shared" si="15"/>
        <v>0.58672602739726043</v>
      </c>
      <c r="AC43" s="295">
        <f t="shared" si="15"/>
        <v>0.58672602739726043</v>
      </c>
      <c r="AD43" s="295">
        <f t="shared" si="15"/>
        <v>0.58672602739726043</v>
      </c>
      <c r="AE43" s="299">
        <f t="shared" si="15"/>
        <v>0.58672602739726043</v>
      </c>
      <c r="AF43" s="302">
        <f t="shared" si="15"/>
        <v>0.58672602739726043</v>
      </c>
      <c r="AG43" s="295">
        <f t="shared" si="15"/>
        <v>0.58672602739726043</v>
      </c>
      <c r="AH43" s="295">
        <f t="shared" si="15"/>
        <v>0.58672602739726043</v>
      </c>
      <c r="AI43" s="295">
        <f t="shared" si="15"/>
        <v>0.58672602739726043</v>
      </c>
      <c r="AJ43" s="295">
        <f t="shared" si="15"/>
        <v>0.58672602739726043</v>
      </c>
      <c r="AK43" s="295">
        <f t="shared" si="15"/>
        <v>0.58672602739726043</v>
      </c>
      <c r="AL43" s="295">
        <f t="shared" si="15"/>
        <v>0.58672602739726043</v>
      </c>
      <c r="AM43" s="295">
        <f t="shared" si="15"/>
        <v>0.58672602739726043</v>
      </c>
      <c r="AN43" s="295">
        <f t="shared" si="15"/>
        <v>0.58672602739726043</v>
      </c>
      <c r="AO43" s="295">
        <f t="shared" si="15"/>
        <v>0.58672602739726043</v>
      </c>
      <c r="AP43" s="295">
        <f t="shared" si="15"/>
        <v>0.58672602739726043</v>
      </c>
      <c r="AQ43" s="364">
        <f t="shared" si="15"/>
        <v>0.58672602739726043</v>
      </c>
    </row>
    <row r="44" spans="2:43" hidden="1" x14ac:dyDescent="0.25">
      <c r="B44" s="349" t="s">
        <v>68</v>
      </c>
      <c r="C44" s="316">
        <f>ROUND('Annex 2. Prices 2024'!E124,2)</f>
        <v>142.77000000000001</v>
      </c>
      <c r="D44" s="304">
        <f>$C$44*D37</f>
        <v>38.723917808219191</v>
      </c>
      <c r="E44" s="295">
        <f t="shared" ref="E44:AQ44" si="16">$C$44*E37</f>
        <v>39.154183561643841</v>
      </c>
      <c r="F44" s="295">
        <f t="shared" si="16"/>
        <v>39.584449315068504</v>
      </c>
      <c r="G44" s="299">
        <f t="shared" si="16"/>
        <v>39.584449315068504</v>
      </c>
      <c r="H44" s="304">
        <f t="shared" si="16"/>
        <v>15.15708904109589</v>
      </c>
      <c r="I44" s="295">
        <f t="shared" si="16"/>
        <v>13.690273972602743</v>
      </c>
      <c r="J44" s="295">
        <f t="shared" si="16"/>
        <v>15.15708904109589</v>
      </c>
      <c r="K44" s="295">
        <f t="shared" si="16"/>
        <v>14.668150684931508</v>
      </c>
      <c r="L44" s="295">
        <f t="shared" si="16"/>
        <v>15.15708904109589</v>
      </c>
      <c r="M44" s="295">
        <f t="shared" si="16"/>
        <v>14.668150684931508</v>
      </c>
      <c r="N44" s="295">
        <f t="shared" si="16"/>
        <v>15.15708904109589</v>
      </c>
      <c r="O44" s="295">
        <f t="shared" si="16"/>
        <v>15.15708904109589</v>
      </c>
      <c r="P44" s="295">
        <f t="shared" si="16"/>
        <v>14.668150684931508</v>
      </c>
      <c r="Q44" s="295">
        <f t="shared" si="16"/>
        <v>15.15708904109589</v>
      </c>
      <c r="R44" s="295">
        <f t="shared" si="16"/>
        <v>14.668150684931508</v>
      </c>
      <c r="S44" s="299">
        <f t="shared" si="16"/>
        <v>15.15708904109589</v>
      </c>
      <c r="T44" s="304">
        <f>$C$44*T37</f>
        <v>0.58672602739726043</v>
      </c>
      <c r="U44" s="295">
        <f t="shared" si="16"/>
        <v>0.58672602739726043</v>
      </c>
      <c r="V44" s="295">
        <f t="shared" si="16"/>
        <v>0.58672602739726043</v>
      </c>
      <c r="W44" s="295">
        <f t="shared" si="16"/>
        <v>0.58672602739726043</v>
      </c>
      <c r="X44" s="295">
        <f t="shared" si="16"/>
        <v>0.58672602739726043</v>
      </c>
      <c r="Y44" s="295">
        <f t="shared" si="16"/>
        <v>0.58672602739726043</v>
      </c>
      <c r="Z44" s="295">
        <f t="shared" si="16"/>
        <v>0.58672602739726043</v>
      </c>
      <c r="AA44" s="295">
        <f t="shared" si="16"/>
        <v>0.58672602739726043</v>
      </c>
      <c r="AB44" s="295">
        <f t="shared" si="16"/>
        <v>0.58672602739726043</v>
      </c>
      <c r="AC44" s="295">
        <f t="shared" si="16"/>
        <v>0.58672602739726043</v>
      </c>
      <c r="AD44" s="295">
        <f t="shared" si="16"/>
        <v>0.58672602739726043</v>
      </c>
      <c r="AE44" s="299">
        <f t="shared" si="16"/>
        <v>0.58672602739726043</v>
      </c>
      <c r="AF44" s="302">
        <f t="shared" si="16"/>
        <v>0.58672602739726043</v>
      </c>
      <c r="AG44" s="295">
        <f t="shared" si="16"/>
        <v>0.58672602739726043</v>
      </c>
      <c r="AH44" s="295">
        <f t="shared" si="16"/>
        <v>0.58672602739726043</v>
      </c>
      <c r="AI44" s="295">
        <f t="shared" si="16"/>
        <v>0.58672602739726043</v>
      </c>
      <c r="AJ44" s="295">
        <f t="shared" si="16"/>
        <v>0.58672602739726043</v>
      </c>
      <c r="AK44" s="295">
        <f t="shared" si="16"/>
        <v>0.58672602739726043</v>
      </c>
      <c r="AL44" s="295">
        <f t="shared" si="16"/>
        <v>0.58672602739726043</v>
      </c>
      <c r="AM44" s="295">
        <f t="shared" si="16"/>
        <v>0.58672602739726043</v>
      </c>
      <c r="AN44" s="295">
        <f t="shared" si="16"/>
        <v>0.58672602739726043</v>
      </c>
      <c r="AO44" s="295">
        <f t="shared" si="16"/>
        <v>0.58672602739726043</v>
      </c>
      <c r="AP44" s="295">
        <f t="shared" si="16"/>
        <v>0.58672602739726043</v>
      </c>
      <c r="AQ44" s="364">
        <f t="shared" si="16"/>
        <v>0.58672602739726043</v>
      </c>
    </row>
    <row r="45" spans="2:43" hidden="1" x14ac:dyDescent="0.25">
      <c r="B45" s="349" t="s">
        <v>79</v>
      </c>
      <c r="C45" s="316">
        <f>ROUND('Annex 2. Prices 2024'!E125,2)</f>
        <v>142.77000000000001</v>
      </c>
      <c r="D45" s="304">
        <f>$C$45*D37</f>
        <v>38.723917808219191</v>
      </c>
      <c r="E45" s="295">
        <f t="shared" ref="E45:AQ45" si="17">$C$45*E37</f>
        <v>39.154183561643841</v>
      </c>
      <c r="F45" s="295">
        <f t="shared" si="17"/>
        <v>39.584449315068504</v>
      </c>
      <c r="G45" s="299">
        <f t="shared" si="17"/>
        <v>39.584449315068504</v>
      </c>
      <c r="H45" s="304">
        <f t="shared" si="17"/>
        <v>15.15708904109589</v>
      </c>
      <c r="I45" s="295">
        <f t="shared" si="17"/>
        <v>13.690273972602743</v>
      </c>
      <c r="J45" s="295">
        <f t="shared" si="17"/>
        <v>15.15708904109589</v>
      </c>
      <c r="K45" s="295">
        <f t="shared" si="17"/>
        <v>14.668150684931508</v>
      </c>
      <c r="L45" s="295">
        <f t="shared" si="17"/>
        <v>15.15708904109589</v>
      </c>
      <c r="M45" s="295">
        <f t="shared" si="17"/>
        <v>14.668150684931508</v>
      </c>
      <c r="N45" s="295">
        <f t="shared" si="17"/>
        <v>15.15708904109589</v>
      </c>
      <c r="O45" s="295">
        <f t="shared" si="17"/>
        <v>15.15708904109589</v>
      </c>
      <c r="P45" s="295">
        <f t="shared" si="17"/>
        <v>14.668150684931508</v>
      </c>
      <c r="Q45" s="295">
        <f t="shared" si="17"/>
        <v>15.15708904109589</v>
      </c>
      <c r="R45" s="295">
        <f t="shared" si="17"/>
        <v>14.668150684931508</v>
      </c>
      <c r="S45" s="299">
        <f t="shared" si="17"/>
        <v>15.15708904109589</v>
      </c>
      <c r="T45" s="304">
        <f t="shared" si="17"/>
        <v>0.58672602739726043</v>
      </c>
      <c r="U45" s="295">
        <f t="shared" si="17"/>
        <v>0.58672602739726043</v>
      </c>
      <c r="V45" s="295">
        <f t="shared" si="17"/>
        <v>0.58672602739726043</v>
      </c>
      <c r="W45" s="295">
        <f t="shared" si="17"/>
        <v>0.58672602739726043</v>
      </c>
      <c r="X45" s="295">
        <f t="shared" si="17"/>
        <v>0.58672602739726043</v>
      </c>
      <c r="Y45" s="295">
        <f t="shared" si="17"/>
        <v>0.58672602739726043</v>
      </c>
      <c r="Z45" s="295">
        <f t="shared" si="17"/>
        <v>0.58672602739726043</v>
      </c>
      <c r="AA45" s="295">
        <f t="shared" si="17"/>
        <v>0.58672602739726043</v>
      </c>
      <c r="AB45" s="295">
        <f t="shared" si="17"/>
        <v>0.58672602739726043</v>
      </c>
      <c r="AC45" s="295">
        <f t="shared" si="17"/>
        <v>0.58672602739726043</v>
      </c>
      <c r="AD45" s="295">
        <f t="shared" si="17"/>
        <v>0.58672602739726043</v>
      </c>
      <c r="AE45" s="299">
        <f t="shared" si="17"/>
        <v>0.58672602739726043</v>
      </c>
      <c r="AF45" s="302">
        <f t="shared" si="17"/>
        <v>0.58672602739726043</v>
      </c>
      <c r="AG45" s="295">
        <f t="shared" si="17"/>
        <v>0.58672602739726043</v>
      </c>
      <c r="AH45" s="295">
        <f t="shared" si="17"/>
        <v>0.58672602739726043</v>
      </c>
      <c r="AI45" s="295">
        <f t="shared" si="17"/>
        <v>0.58672602739726043</v>
      </c>
      <c r="AJ45" s="295">
        <f t="shared" si="17"/>
        <v>0.58672602739726043</v>
      </c>
      <c r="AK45" s="295">
        <f t="shared" si="17"/>
        <v>0.58672602739726043</v>
      </c>
      <c r="AL45" s="295">
        <f t="shared" si="17"/>
        <v>0.58672602739726043</v>
      </c>
      <c r="AM45" s="295">
        <f t="shared" si="17"/>
        <v>0.58672602739726043</v>
      </c>
      <c r="AN45" s="295">
        <f t="shared" si="17"/>
        <v>0.58672602739726043</v>
      </c>
      <c r="AO45" s="295">
        <f t="shared" si="17"/>
        <v>0.58672602739726043</v>
      </c>
      <c r="AP45" s="295">
        <f t="shared" si="17"/>
        <v>0.58672602739726043</v>
      </c>
      <c r="AQ45" s="364">
        <f t="shared" si="17"/>
        <v>0.58672602739726043</v>
      </c>
    </row>
    <row r="46" spans="2:43" hidden="1" x14ac:dyDescent="0.25">
      <c r="B46" s="349" t="s">
        <v>69</v>
      </c>
      <c r="C46" s="316">
        <f>ROUND('Annex 2. Prices 2024'!E126,2)</f>
        <v>116.66</v>
      </c>
      <c r="D46" s="304">
        <f>+$C$46*D38</f>
        <v>31.642027397260279</v>
      </c>
      <c r="E46" s="295">
        <f t="shared" ref="E46:AQ46" si="18">+$C$46*E38</f>
        <v>31.993605479452057</v>
      </c>
      <c r="F46" s="295">
        <f t="shared" si="18"/>
        <v>32.345183561643836</v>
      </c>
      <c r="G46" s="299">
        <f t="shared" si="18"/>
        <v>32.345183561643836</v>
      </c>
      <c r="H46" s="304">
        <f t="shared" si="18"/>
        <v>12.385136986301369</v>
      </c>
      <c r="I46" s="295">
        <f t="shared" si="18"/>
        <v>11.186575342465755</v>
      </c>
      <c r="J46" s="295">
        <f t="shared" si="18"/>
        <v>12.385136986301369</v>
      </c>
      <c r="K46" s="295">
        <f t="shared" si="18"/>
        <v>11.985616438356164</v>
      </c>
      <c r="L46" s="295">
        <f t="shared" si="18"/>
        <v>12.385136986301369</v>
      </c>
      <c r="M46" s="295">
        <f t="shared" si="18"/>
        <v>11.985616438356164</v>
      </c>
      <c r="N46" s="295">
        <f t="shared" si="18"/>
        <v>12.385136986301369</v>
      </c>
      <c r="O46" s="295">
        <f t="shared" si="18"/>
        <v>12.385136986301369</v>
      </c>
      <c r="P46" s="295">
        <f t="shared" si="18"/>
        <v>11.985616438356164</v>
      </c>
      <c r="Q46" s="295">
        <f t="shared" si="18"/>
        <v>12.385136986301369</v>
      </c>
      <c r="R46" s="295">
        <f t="shared" si="18"/>
        <v>11.985616438356164</v>
      </c>
      <c r="S46" s="299">
        <f t="shared" si="18"/>
        <v>12.385136986301369</v>
      </c>
      <c r="T46" s="304">
        <f>+$C$46*T38</f>
        <v>0.47942465753424662</v>
      </c>
      <c r="U46" s="295">
        <f t="shared" si="18"/>
        <v>0.47942465753424662</v>
      </c>
      <c r="V46" s="295">
        <f t="shared" si="18"/>
        <v>0.47942465753424662</v>
      </c>
      <c r="W46" s="295">
        <f t="shared" si="18"/>
        <v>0.47942465753424662</v>
      </c>
      <c r="X46" s="295">
        <f t="shared" si="18"/>
        <v>0.47942465753424662</v>
      </c>
      <c r="Y46" s="295">
        <f t="shared" si="18"/>
        <v>0.47942465753424662</v>
      </c>
      <c r="Z46" s="295">
        <f t="shared" si="18"/>
        <v>0.47942465753424662</v>
      </c>
      <c r="AA46" s="295">
        <f t="shared" si="18"/>
        <v>0.47942465753424662</v>
      </c>
      <c r="AB46" s="295">
        <f t="shared" si="18"/>
        <v>0.47942465753424662</v>
      </c>
      <c r="AC46" s="295">
        <f t="shared" si="18"/>
        <v>0.47942465753424662</v>
      </c>
      <c r="AD46" s="295">
        <f t="shared" si="18"/>
        <v>0.47942465753424662</v>
      </c>
      <c r="AE46" s="299">
        <f t="shared" si="18"/>
        <v>0.47942465753424662</v>
      </c>
      <c r="AF46" s="302">
        <f t="shared" si="18"/>
        <v>0.47942465753424662</v>
      </c>
      <c r="AG46" s="295">
        <f t="shared" si="18"/>
        <v>0.47942465753424662</v>
      </c>
      <c r="AH46" s="295">
        <f t="shared" si="18"/>
        <v>0.47942465753424662</v>
      </c>
      <c r="AI46" s="295">
        <f t="shared" si="18"/>
        <v>0.47942465753424662</v>
      </c>
      <c r="AJ46" s="295">
        <f t="shared" si="18"/>
        <v>0.47942465753424662</v>
      </c>
      <c r="AK46" s="295">
        <f t="shared" si="18"/>
        <v>0.47942465753424662</v>
      </c>
      <c r="AL46" s="295">
        <f t="shared" si="18"/>
        <v>0.47942465753424662</v>
      </c>
      <c r="AM46" s="295">
        <f t="shared" si="18"/>
        <v>0.47942465753424662</v>
      </c>
      <c r="AN46" s="295">
        <f t="shared" si="18"/>
        <v>0.47942465753424662</v>
      </c>
      <c r="AO46" s="295">
        <f t="shared" si="18"/>
        <v>0.47942465753424662</v>
      </c>
      <c r="AP46" s="295">
        <f t="shared" si="18"/>
        <v>0.47942465753424662</v>
      </c>
      <c r="AQ46" s="364">
        <f t="shared" si="18"/>
        <v>0.47942465753424662</v>
      </c>
    </row>
    <row r="47" spans="2:43" hidden="1" x14ac:dyDescent="0.25">
      <c r="B47" s="349" t="s">
        <v>70</v>
      </c>
      <c r="C47" s="316">
        <f>ROUND('Annex 2. Prices 2024'!E127,2)</f>
        <v>46.7</v>
      </c>
      <c r="D47" s="304">
        <f>+$C$47*D39</f>
        <v>22.022568493150686</v>
      </c>
      <c r="E47" s="295">
        <f t="shared" ref="E47:AQ47" si="19">+$C$47*E39</f>
        <v>9.3144109589041122</v>
      </c>
      <c r="F47" s="295">
        <f t="shared" si="19"/>
        <v>7.2097123287671243</v>
      </c>
      <c r="G47" s="299">
        <f t="shared" si="19"/>
        <v>19.716356164383566</v>
      </c>
      <c r="H47" s="304">
        <f t="shared" si="19"/>
        <v>10.828002739726029</v>
      </c>
      <c r="I47" s="295">
        <f t="shared" si="19"/>
        <v>7.3619671232876716</v>
      </c>
      <c r="J47" s="295">
        <f t="shared" si="19"/>
        <v>8.3887273972602738</v>
      </c>
      <c r="K47" s="295">
        <f t="shared" si="19"/>
        <v>4.663602739726028</v>
      </c>
      <c r="L47" s="295">
        <f t="shared" si="19"/>
        <v>3.6291657534246582</v>
      </c>
      <c r="M47" s="295">
        <f t="shared" si="19"/>
        <v>2.821191780821918</v>
      </c>
      <c r="N47" s="295">
        <f t="shared" si="19"/>
        <v>2.3202863013698636</v>
      </c>
      <c r="O47" s="295">
        <f t="shared" si="19"/>
        <v>2.7367479452054795</v>
      </c>
      <c r="P47" s="295">
        <f t="shared" si="19"/>
        <v>3.5696712328767126</v>
      </c>
      <c r="Q47" s="295">
        <f t="shared" si="19"/>
        <v>6.3659136986301377</v>
      </c>
      <c r="R47" s="295">
        <f t="shared" si="19"/>
        <v>7.7726712328767134</v>
      </c>
      <c r="S47" s="299">
        <f t="shared" si="19"/>
        <v>9.5191232876712348</v>
      </c>
      <c r="T47" s="304">
        <f t="shared" si="19"/>
        <v>0.69858082191780835</v>
      </c>
      <c r="U47" s="295">
        <f t="shared" si="19"/>
        <v>0.52585479452054806</v>
      </c>
      <c r="V47" s="295">
        <f t="shared" si="19"/>
        <v>0.54120821917808226</v>
      </c>
      <c r="W47" s="295">
        <f t="shared" si="19"/>
        <v>0.31090684931506857</v>
      </c>
      <c r="X47" s="295">
        <f t="shared" si="19"/>
        <v>0.23413972602739727</v>
      </c>
      <c r="Y47" s="295">
        <f t="shared" si="19"/>
        <v>0.18807945205479454</v>
      </c>
      <c r="Z47" s="295">
        <f t="shared" si="19"/>
        <v>0.14969589041095893</v>
      </c>
      <c r="AA47" s="295">
        <f t="shared" si="19"/>
        <v>0.17656438356164386</v>
      </c>
      <c r="AB47" s="295">
        <f t="shared" si="19"/>
        <v>0.23797808219178085</v>
      </c>
      <c r="AC47" s="295">
        <f t="shared" si="19"/>
        <v>0.41070410958904119</v>
      </c>
      <c r="AD47" s="295">
        <f t="shared" si="19"/>
        <v>0.51817808219178096</v>
      </c>
      <c r="AE47" s="299">
        <f t="shared" si="19"/>
        <v>0.61413698630137004</v>
      </c>
      <c r="AF47" s="302">
        <f t="shared" si="19"/>
        <v>0.69858082191780835</v>
      </c>
      <c r="AG47" s="295">
        <f t="shared" si="19"/>
        <v>0.52585479452054806</v>
      </c>
      <c r="AH47" s="295">
        <f t="shared" si="19"/>
        <v>0.54120821917808226</v>
      </c>
      <c r="AI47" s="295">
        <f t="shared" si="19"/>
        <v>0.31090684931506857</v>
      </c>
      <c r="AJ47" s="295">
        <f t="shared" si="19"/>
        <v>0.23413972602739727</v>
      </c>
      <c r="AK47" s="295">
        <f t="shared" si="19"/>
        <v>0.18807945205479454</v>
      </c>
      <c r="AL47" s="295">
        <f t="shared" si="19"/>
        <v>0.14969589041095893</v>
      </c>
      <c r="AM47" s="295">
        <f t="shared" si="19"/>
        <v>0.17656438356164386</v>
      </c>
      <c r="AN47" s="295">
        <f t="shared" si="19"/>
        <v>0.23797808219178085</v>
      </c>
      <c r="AO47" s="295">
        <f t="shared" si="19"/>
        <v>0.41070410958904119</v>
      </c>
      <c r="AP47" s="295">
        <f t="shared" si="19"/>
        <v>0.51817808219178096</v>
      </c>
      <c r="AQ47" s="364">
        <f t="shared" si="19"/>
        <v>0.61413698630137004</v>
      </c>
    </row>
    <row r="48" spans="2:43" hidden="1" x14ac:dyDescent="0.25">
      <c r="B48" s="349" t="s">
        <v>77</v>
      </c>
      <c r="C48" s="316">
        <f>ROUND('Annex 2. Prices 2024'!E128,2)</f>
        <v>116.66</v>
      </c>
      <c r="D48" s="304">
        <f>+$C$48*D38</f>
        <v>31.642027397260279</v>
      </c>
      <c r="E48" s="295">
        <f t="shared" ref="E48:AQ48" si="20">+$C$48*E38</f>
        <v>31.993605479452057</v>
      </c>
      <c r="F48" s="295">
        <f t="shared" si="20"/>
        <v>32.345183561643836</v>
      </c>
      <c r="G48" s="299">
        <f t="shared" si="20"/>
        <v>32.345183561643836</v>
      </c>
      <c r="H48" s="304">
        <f t="shared" si="20"/>
        <v>12.385136986301369</v>
      </c>
      <c r="I48" s="295">
        <f t="shared" si="20"/>
        <v>11.186575342465755</v>
      </c>
      <c r="J48" s="295">
        <f t="shared" si="20"/>
        <v>12.385136986301369</v>
      </c>
      <c r="K48" s="295">
        <f t="shared" si="20"/>
        <v>11.985616438356164</v>
      </c>
      <c r="L48" s="295">
        <f t="shared" si="20"/>
        <v>12.385136986301369</v>
      </c>
      <c r="M48" s="295">
        <f t="shared" si="20"/>
        <v>11.985616438356164</v>
      </c>
      <c r="N48" s="295">
        <f t="shared" si="20"/>
        <v>12.385136986301369</v>
      </c>
      <c r="O48" s="295">
        <f t="shared" si="20"/>
        <v>12.385136986301369</v>
      </c>
      <c r="P48" s="295">
        <f t="shared" si="20"/>
        <v>11.985616438356164</v>
      </c>
      <c r="Q48" s="295">
        <f t="shared" si="20"/>
        <v>12.385136986301369</v>
      </c>
      <c r="R48" s="295">
        <f t="shared" si="20"/>
        <v>11.985616438356164</v>
      </c>
      <c r="S48" s="299">
        <f t="shared" si="20"/>
        <v>12.385136986301369</v>
      </c>
      <c r="T48" s="304">
        <f t="shared" si="20"/>
        <v>0.47942465753424662</v>
      </c>
      <c r="U48" s="295">
        <f t="shared" si="20"/>
        <v>0.47942465753424662</v>
      </c>
      <c r="V48" s="295">
        <f t="shared" si="20"/>
        <v>0.47942465753424662</v>
      </c>
      <c r="W48" s="295">
        <f t="shared" si="20"/>
        <v>0.47942465753424662</v>
      </c>
      <c r="X48" s="295">
        <f t="shared" si="20"/>
        <v>0.47942465753424662</v>
      </c>
      <c r="Y48" s="295">
        <f t="shared" si="20"/>
        <v>0.47942465753424662</v>
      </c>
      <c r="Z48" s="295">
        <f t="shared" si="20"/>
        <v>0.47942465753424662</v>
      </c>
      <c r="AA48" s="295">
        <f t="shared" si="20"/>
        <v>0.47942465753424662</v>
      </c>
      <c r="AB48" s="295">
        <f t="shared" si="20"/>
        <v>0.47942465753424662</v>
      </c>
      <c r="AC48" s="295">
        <f t="shared" si="20"/>
        <v>0.47942465753424662</v>
      </c>
      <c r="AD48" s="295">
        <f t="shared" si="20"/>
        <v>0.47942465753424662</v>
      </c>
      <c r="AE48" s="299">
        <f t="shared" si="20"/>
        <v>0.47942465753424662</v>
      </c>
      <c r="AF48" s="302">
        <f t="shared" si="20"/>
        <v>0.47942465753424662</v>
      </c>
      <c r="AG48" s="295">
        <f t="shared" si="20"/>
        <v>0.47942465753424662</v>
      </c>
      <c r="AH48" s="295">
        <f t="shared" si="20"/>
        <v>0.47942465753424662</v>
      </c>
      <c r="AI48" s="295">
        <f t="shared" si="20"/>
        <v>0.47942465753424662</v>
      </c>
      <c r="AJ48" s="295">
        <f t="shared" si="20"/>
        <v>0.47942465753424662</v>
      </c>
      <c r="AK48" s="295">
        <f t="shared" si="20"/>
        <v>0.47942465753424662</v>
      </c>
      <c r="AL48" s="295">
        <f t="shared" si="20"/>
        <v>0.47942465753424662</v>
      </c>
      <c r="AM48" s="295">
        <f t="shared" si="20"/>
        <v>0.47942465753424662</v>
      </c>
      <c r="AN48" s="295">
        <f t="shared" si="20"/>
        <v>0.47942465753424662</v>
      </c>
      <c r="AO48" s="295">
        <f t="shared" si="20"/>
        <v>0.47942465753424662</v>
      </c>
      <c r="AP48" s="295">
        <f t="shared" si="20"/>
        <v>0.47942465753424662</v>
      </c>
      <c r="AQ48" s="364">
        <f t="shared" si="20"/>
        <v>0.47942465753424662</v>
      </c>
    </row>
    <row r="49" spans="2:43" hidden="1" x14ac:dyDescent="0.25">
      <c r="B49" s="349" t="s">
        <v>71</v>
      </c>
      <c r="C49" s="316">
        <f>ROUND('Annex 2. Prices 2024'!E132,2)</f>
        <v>100.86</v>
      </c>
      <c r="D49" s="304">
        <f>+$C$49*D40</f>
        <v>47.563089041095893</v>
      </c>
      <c r="E49" s="295">
        <f>+$C$49*E40</f>
        <v>20.116734246575344</v>
      </c>
      <c r="F49" s="295">
        <f t="shared" ref="F49:AQ49" si="21">+$C$49*F40</f>
        <v>15.571126027397261</v>
      </c>
      <c r="G49" s="299">
        <f>+$C$49*G40</f>
        <v>42.582263013698636</v>
      </c>
      <c r="H49" s="304">
        <f>+$C$49*H40</f>
        <v>23.385703561643837</v>
      </c>
      <c r="I49" s="295">
        <f>+$C$49*I40</f>
        <v>15.899957260273972</v>
      </c>
      <c r="J49" s="295">
        <f t="shared" si="21"/>
        <v>18.117495616438354</v>
      </c>
      <c r="K49" s="295">
        <f t="shared" si="21"/>
        <v>10.072183561643836</v>
      </c>
      <c r="L49" s="295">
        <f t="shared" si="21"/>
        <v>7.8380654794520552</v>
      </c>
      <c r="M49" s="295">
        <f t="shared" si="21"/>
        <v>6.0930493150684928</v>
      </c>
      <c r="N49" s="295">
        <f t="shared" si="21"/>
        <v>5.0112221917808224</v>
      </c>
      <c r="O49" s="295">
        <f t="shared" si="21"/>
        <v>5.9106723287671237</v>
      </c>
      <c r="P49" s="295">
        <f t="shared" si="21"/>
        <v>7.7095726027397262</v>
      </c>
      <c r="Q49" s="295">
        <f t="shared" si="21"/>
        <v>13.748737808219179</v>
      </c>
      <c r="R49" s="295">
        <f t="shared" si="21"/>
        <v>16.786972602739727</v>
      </c>
      <c r="S49" s="299">
        <f t="shared" si="21"/>
        <v>20.558860273972606</v>
      </c>
      <c r="T49" s="304">
        <f t="shared" si="21"/>
        <v>1.5087550684931508</v>
      </c>
      <c r="U49" s="295">
        <f t="shared" si="21"/>
        <v>1.1357112328767127</v>
      </c>
      <c r="V49" s="295">
        <f t="shared" si="21"/>
        <v>1.1688706849315069</v>
      </c>
      <c r="W49" s="295">
        <f t="shared" si="21"/>
        <v>0.67147890410958921</v>
      </c>
      <c r="X49" s="295">
        <f t="shared" si="21"/>
        <v>0.50568164383561642</v>
      </c>
      <c r="Y49" s="295">
        <f t="shared" si="21"/>
        <v>0.40620328767123287</v>
      </c>
      <c r="Z49" s="295">
        <f t="shared" si="21"/>
        <v>0.32330465753424659</v>
      </c>
      <c r="AA49" s="295">
        <f t="shared" si="21"/>
        <v>0.38133369863013705</v>
      </c>
      <c r="AB49" s="295">
        <f t="shared" si="21"/>
        <v>0.51397150684931514</v>
      </c>
      <c r="AC49" s="295">
        <f t="shared" si="21"/>
        <v>0.88701534246575353</v>
      </c>
      <c r="AD49" s="295">
        <f t="shared" si="21"/>
        <v>1.1191315068493153</v>
      </c>
      <c r="AE49" s="299">
        <f t="shared" si="21"/>
        <v>1.326378082191781</v>
      </c>
      <c r="AF49" s="302">
        <f t="shared" si="21"/>
        <v>1.5087550684931508</v>
      </c>
      <c r="AG49" s="295">
        <f t="shared" si="21"/>
        <v>1.1357112328767127</v>
      </c>
      <c r="AH49" s="295">
        <f t="shared" si="21"/>
        <v>1.1688706849315069</v>
      </c>
      <c r="AI49" s="295">
        <f t="shared" si="21"/>
        <v>0.67147890410958921</v>
      </c>
      <c r="AJ49" s="295">
        <f t="shared" si="21"/>
        <v>0.50568164383561642</v>
      </c>
      <c r="AK49" s="295">
        <f t="shared" si="21"/>
        <v>0.40620328767123287</v>
      </c>
      <c r="AL49" s="295">
        <f t="shared" si="21"/>
        <v>0.32330465753424659</v>
      </c>
      <c r="AM49" s="295">
        <f t="shared" si="21"/>
        <v>0.38133369863013705</v>
      </c>
      <c r="AN49" s="295">
        <f t="shared" si="21"/>
        <v>0.51397150684931514</v>
      </c>
      <c r="AO49" s="295">
        <f t="shared" si="21"/>
        <v>0.88701534246575353</v>
      </c>
      <c r="AP49" s="295">
        <f t="shared" si="21"/>
        <v>1.1191315068493153</v>
      </c>
      <c r="AQ49" s="364">
        <f t="shared" si="21"/>
        <v>1.326378082191781</v>
      </c>
    </row>
    <row r="50" spans="2:43" hidden="1" x14ac:dyDescent="0.25">
      <c r="B50" s="349" t="s">
        <v>78</v>
      </c>
      <c r="C50" s="317">
        <f>ROUND('Annex 2. Prices 2024'!E133,2)</f>
        <v>46.37</v>
      </c>
      <c r="D50" s="306">
        <f>+$C$50*D40</f>
        <v>21.866948630136985</v>
      </c>
      <c r="E50" s="307">
        <f t="shared" ref="E50:AQ50" si="22">+$C$50*E40</f>
        <v>9.2485917808219185</v>
      </c>
      <c r="F50" s="307">
        <f t="shared" si="22"/>
        <v>7.1587657534246576</v>
      </c>
      <c r="G50" s="308">
        <f t="shared" si="22"/>
        <v>19.57703287671233</v>
      </c>
      <c r="H50" s="306">
        <f t="shared" si="22"/>
        <v>10.751487945205479</v>
      </c>
      <c r="I50" s="307">
        <f t="shared" si="22"/>
        <v>7.3099446575342464</v>
      </c>
      <c r="J50" s="307">
        <f t="shared" si="22"/>
        <v>8.3294494520547939</v>
      </c>
      <c r="K50" s="307">
        <f t="shared" si="22"/>
        <v>4.630647945205479</v>
      </c>
      <c r="L50" s="307">
        <f t="shared" si="22"/>
        <v>3.6035206849315067</v>
      </c>
      <c r="M50" s="307">
        <f t="shared" si="22"/>
        <v>2.8012561643835614</v>
      </c>
      <c r="N50" s="307">
        <f t="shared" si="22"/>
        <v>2.3038902739726028</v>
      </c>
      <c r="O50" s="307">
        <f t="shared" si="22"/>
        <v>2.7174090410958902</v>
      </c>
      <c r="P50" s="307">
        <f t="shared" si="22"/>
        <v>3.5444465753424654</v>
      </c>
      <c r="Q50" s="307">
        <f t="shared" si="22"/>
        <v>6.3209297260273978</v>
      </c>
      <c r="R50" s="307">
        <f t="shared" si="22"/>
        <v>7.7177465753424661</v>
      </c>
      <c r="S50" s="308">
        <f t="shared" si="22"/>
        <v>9.4518575342465763</v>
      </c>
      <c r="T50" s="306">
        <f t="shared" si="22"/>
        <v>0.69364438356164393</v>
      </c>
      <c r="U50" s="307">
        <f t="shared" si="22"/>
        <v>0.52213890410958919</v>
      </c>
      <c r="V50" s="307">
        <f t="shared" si="22"/>
        <v>0.53738383561643832</v>
      </c>
      <c r="W50" s="307">
        <f t="shared" si="22"/>
        <v>0.30870986301369868</v>
      </c>
      <c r="X50" s="307">
        <f t="shared" si="22"/>
        <v>0.23248520547945206</v>
      </c>
      <c r="Y50" s="307">
        <f t="shared" si="22"/>
        <v>0.1867504109589041</v>
      </c>
      <c r="Z50" s="307">
        <f t="shared" si="22"/>
        <v>0.14863808219178082</v>
      </c>
      <c r="AA50" s="307">
        <f t="shared" si="22"/>
        <v>0.17531671232876714</v>
      </c>
      <c r="AB50" s="307">
        <f t="shared" si="22"/>
        <v>0.2362964383561644</v>
      </c>
      <c r="AC50" s="307">
        <f t="shared" si="22"/>
        <v>0.40780191780821923</v>
      </c>
      <c r="AD50" s="307">
        <f t="shared" si="22"/>
        <v>0.51451643835616445</v>
      </c>
      <c r="AE50" s="308">
        <f t="shared" si="22"/>
        <v>0.60979726027397274</v>
      </c>
      <c r="AF50" s="309">
        <f t="shared" si="22"/>
        <v>0.69364438356164393</v>
      </c>
      <c r="AG50" s="307">
        <f t="shared" si="22"/>
        <v>0.52213890410958919</v>
      </c>
      <c r="AH50" s="307">
        <f t="shared" si="22"/>
        <v>0.53738383561643832</v>
      </c>
      <c r="AI50" s="307">
        <f t="shared" si="22"/>
        <v>0.30870986301369868</v>
      </c>
      <c r="AJ50" s="307">
        <f t="shared" si="22"/>
        <v>0.23248520547945206</v>
      </c>
      <c r="AK50" s="307">
        <f t="shared" si="22"/>
        <v>0.1867504109589041</v>
      </c>
      <c r="AL50" s="307">
        <f t="shared" si="22"/>
        <v>0.14863808219178082</v>
      </c>
      <c r="AM50" s="307">
        <f t="shared" si="22"/>
        <v>0.17531671232876714</v>
      </c>
      <c r="AN50" s="307">
        <f t="shared" si="22"/>
        <v>0.2362964383561644</v>
      </c>
      <c r="AO50" s="307">
        <f t="shared" si="22"/>
        <v>0.40780191780821923</v>
      </c>
      <c r="AP50" s="307">
        <f t="shared" si="22"/>
        <v>0.51451643835616445</v>
      </c>
      <c r="AQ50" s="365">
        <f t="shared" si="22"/>
        <v>0.60979726027397274</v>
      </c>
    </row>
    <row r="51" spans="2:43" ht="15.75" x14ac:dyDescent="0.25">
      <c r="B51" s="612" t="s">
        <v>297</v>
      </c>
      <c r="C51" s="613"/>
      <c r="D51" s="613"/>
      <c r="E51" s="613"/>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4"/>
    </row>
    <row r="52" spans="2:43" ht="14.45" customHeight="1" x14ac:dyDescent="0.25">
      <c r="B52" s="349"/>
      <c r="C52" s="615" t="s">
        <v>302</v>
      </c>
      <c r="D52" s="609" t="s">
        <v>298</v>
      </c>
      <c r="E52" s="610"/>
      <c r="F52" s="610"/>
      <c r="G52" s="611"/>
      <c r="H52" s="609" t="s">
        <v>299</v>
      </c>
      <c r="I52" s="610"/>
      <c r="J52" s="610"/>
      <c r="K52" s="610"/>
      <c r="L52" s="610"/>
      <c r="M52" s="610"/>
      <c r="N52" s="610"/>
      <c r="O52" s="610"/>
      <c r="P52" s="610"/>
      <c r="Q52" s="610"/>
      <c r="R52" s="610"/>
      <c r="S52" s="611"/>
      <c r="T52" s="609" t="s">
        <v>300</v>
      </c>
      <c r="U52" s="610"/>
      <c r="V52" s="610"/>
      <c r="W52" s="610"/>
      <c r="X52" s="610"/>
      <c r="Y52" s="610"/>
      <c r="Z52" s="610"/>
      <c r="AA52" s="610"/>
      <c r="AB52" s="610"/>
      <c r="AC52" s="610"/>
      <c r="AD52" s="610"/>
      <c r="AE52" s="611"/>
      <c r="AF52" s="609" t="s">
        <v>301</v>
      </c>
      <c r="AG52" s="610"/>
      <c r="AH52" s="610"/>
      <c r="AI52" s="610"/>
      <c r="AJ52" s="610"/>
      <c r="AK52" s="610"/>
      <c r="AL52" s="610"/>
      <c r="AM52" s="610"/>
      <c r="AN52" s="610"/>
      <c r="AO52" s="610"/>
      <c r="AP52" s="610"/>
      <c r="AQ52" s="611"/>
    </row>
    <row r="53" spans="2:43" x14ac:dyDescent="0.25">
      <c r="B53" s="543" t="s">
        <v>303</v>
      </c>
      <c r="C53" s="615"/>
      <c r="D53" s="323" t="s">
        <v>265</v>
      </c>
      <c r="E53" s="339" t="s">
        <v>266</v>
      </c>
      <c r="F53" s="339" t="s">
        <v>267</v>
      </c>
      <c r="G53" s="338" t="s">
        <v>268</v>
      </c>
      <c r="H53" s="323" t="s">
        <v>231</v>
      </c>
      <c r="I53" s="339" t="s">
        <v>232</v>
      </c>
      <c r="J53" s="339" t="s">
        <v>233</v>
      </c>
      <c r="K53" s="339" t="s">
        <v>234</v>
      </c>
      <c r="L53" s="339" t="s">
        <v>200</v>
      </c>
      <c r="M53" s="339" t="s">
        <v>235</v>
      </c>
      <c r="N53" s="339" t="s">
        <v>236</v>
      </c>
      <c r="O53" s="339" t="s">
        <v>237</v>
      </c>
      <c r="P53" s="339" t="s">
        <v>238</v>
      </c>
      <c r="Q53" s="339" t="s">
        <v>239</v>
      </c>
      <c r="R53" s="339" t="s">
        <v>240</v>
      </c>
      <c r="S53" s="338" t="s">
        <v>241</v>
      </c>
      <c r="T53" s="323" t="s">
        <v>231</v>
      </c>
      <c r="U53" s="339" t="s">
        <v>232</v>
      </c>
      <c r="V53" s="339" t="s">
        <v>233</v>
      </c>
      <c r="W53" s="339" t="s">
        <v>234</v>
      </c>
      <c r="X53" s="339" t="s">
        <v>200</v>
      </c>
      <c r="Y53" s="339" t="s">
        <v>235</v>
      </c>
      <c r="Z53" s="339" t="s">
        <v>236</v>
      </c>
      <c r="AA53" s="339" t="s">
        <v>237</v>
      </c>
      <c r="AB53" s="339" t="s">
        <v>238</v>
      </c>
      <c r="AC53" s="339" t="s">
        <v>239</v>
      </c>
      <c r="AD53" s="339" t="s">
        <v>240</v>
      </c>
      <c r="AE53" s="338" t="s">
        <v>241</v>
      </c>
      <c r="AF53" s="324" t="s">
        <v>231</v>
      </c>
      <c r="AG53" s="339" t="s">
        <v>232</v>
      </c>
      <c r="AH53" s="339" t="s">
        <v>233</v>
      </c>
      <c r="AI53" s="339" t="s">
        <v>234</v>
      </c>
      <c r="AJ53" s="339" t="s">
        <v>200</v>
      </c>
      <c r="AK53" s="339" t="s">
        <v>235</v>
      </c>
      <c r="AL53" s="339" t="s">
        <v>236</v>
      </c>
      <c r="AM53" s="339" t="s">
        <v>237</v>
      </c>
      <c r="AN53" s="339" t="s">
        <v>238</v>
      </c>
      <c r="AO53" s="339" t="s">
        <v>239</v>
      </c>
      <c r="AP53" s="339" t="s">
        <v>240</v>
      </c>
      <c r="AQ53" s="338" t="s">
        <v>241</v>
      </c>
    </row>
    <row r="54" spans="2:43" x14ac:dyDescent="0.25">
      <c r="B54" s="543" t="s">
        <v>304</v>
      </c>
      <c r="C54" s="615"/>
      <c r="D54" s="303">
        <f>1/$C$12*D12*$D$18</f>
        <v>0.27349726775956285</v>
      </c>
      <c r="E54" s="296">
        <f>1/$C$12*E12*$D$18</f>
        <v>0.27349726775956285</v>
      </c>
      <c r="F54" s="296">
        <f>1/$C$12*F12*$D$18</f>
        <v>0.2765027322404372</v>
      </c>
      <c r="G54" s="296">
        <f>1/$C$12*G12*$D$18</f>
        <v>0.2765027322404372</v>
      </c>
      <c r="H54" s="303">
        <f>1/$C$12*H12*$E$18</f>
        <v>0.1058743169398907</v>
      </c>
      <c r="I54" s="301">
        <f>1/$C$12*I12*$E$18</f>
        <v>9.9043715846994534E-2</v>
      </c>
      <c r="J54" s="301">
        <f t="shared" ref="J54:S54" si="23">1/$C$12*J12*$E$18</f>
        <v>0.1058743169398907</v>
      </c>
      <c r="K54" s="301">
        <f t="shared" si="23"/>
        <v>0.10245901639344261</v>
      </c>
      <c r="L54" s="301">
        <f t="shared" si="23"/>
        <v>0.1058743169398907</v>
      </c>
      <c r="M54" s="301">
        <f>1/$C$12*M12*$E$18</f>
        <v>0.10245901639344261</v>
      </c>
      <c r="N54" s="301">
        <f t="shared" si="23"/>
        <v>0.1058743169398907</v>
      </c>
      <c r="O54" s="301">
        <f t="shared" si="23"/>
        <v>0.1058743169398907</v>
      </c>
      <c r="P54" s="301">
        <f>1/$C$12*P12*$E$18</f>
        <v>0.10245901639344261</v>
      </c>
      <c r="Q54" s="301">
        <f t="shared" si="23"/>
        <v>0.1058743169398907</v>
      </c>
      <c r="R54" s="301">
        <f t="shared" si="23"/>
        <v>0.10245901639344261</v>
      </c>
      <c r="S54" s="298">
        <f t="shared" si="23"/>
        <v>0.1058743169398907</v>
      </c>
      <c r="T54" s="301">
        <f>1/$C$12*$F$18</f>
        <v>4.0983606557377051E-3</v>
      </c>
      <c r="U54" s="301">
        <f t="shared" ref="U54:AE54" si="24">1/$C$12*$F$18</f>
        <v>4.0983606557377051E-3</v>
      </c>
      <c r="V54" s="301">
        <f t="shared" si="24"/>
        <v>4.0983606557377051E-3</v>
      </c>
      <c r="W54" s="301">
        <f t="shared" si="24"/>
        <v>4.0983606557377051E-3</v>
      </c>
      <c r="X54" s="301">
        <f>1/$C$12*$F$18</f>
        <v>4.0983606557377051E-3</v>
      </c>
      <c r="Y54" s="301">
        <f t="shared" si="24"/>
        <v>4.0983606557377051E-3</v>
      </c>
      <c r="Z54" s="301">
        <f t="shared" si="24"/>
        <v>4.0983606557377051E-3</v>
      </c>
      <c r="AA54" s="301">
        <f>1/$C$12*$F$18</f>
        <v>4.0983606557377051E-3</v>
      </c>
      <c r="AB54" s="301">
        <f t="shared" si="24"/>
        <v>4.0983606557377051E-3</v>
      </c>
      <c r="AC54" s="301">
        <f t="shared" si="24"/>
        <v>4.0983606557377051E-3</v>
      </c>
      <c r="AD54" s="301">
        <f t="shared" si="24"/>
        <v>4.0983606557377051E-3</v>
      </c>
      <c r="AE54" s="298">
        <f t="shared" si="24"/>
        <v>4.0983606557377051E-3</v>
      </c>
      <c r="AF54" s="301">
        <f>1/$C$12*$G$18</f>
        <v>4.6448087431693987E-3</v>
      </c>
      <c r="AG54" s="301">
        <f>1/$C$12*$G$18</f>
        <v>4.6448087431693987E-3</v>
      </c>
      <c r="AH54" s="301">
        <f t="shared" ref="AH54:AQ54" si="25">1/$C$12*$G$18</f>
        <v>4.6448087431693987E-3</v>
      </c>
      <c r="AI54" s="301">
        <f t="shared" si="25"/>
        <v>4.6448087431693987E-3</v>
      </c>
      <c r="AJ54" s="301">
        <f t="shared" si="25"/>
        <v>4.6448087431693987E-3</v>
      </c>
      <c r="AK54" s="301">
        <f t="shared" si="25"/>
        <v>4.6448087431693987E-3</v>
      </c>
      <c r="AL54" s="301">
        <f t="shared" si="25"/>
        <v>4.6448087431693987E-3</v>
      </c>
      <c r="AM54" s="301">
        <f t="shared" si="25"/>
        <v>4.6448087431693987E-3</v>
      </c>
      <c r="AN54" s="301">
        <f t="shared" si="25"/>
        <v>4.6448087431693987E-3</v>
      </c>
      <c r="AO54" s="301">
        <f t="shared" si="25"/>
        <v>4.6448087431693987E-3</v>
      </c>
      <c r="AP54" s="301">
        <f t="shared" si="25"/>
        <v>4.6448087431693987E-3</v>
      </c>
      <c r="AQ54" s="363">
        <f t="shared" si="25"/>
        <v>4.6448087431693987E-3</v>
      </c>
    </row>
    <row r="55" spans="2:43" x14ac:dyDescent="0.25">
      <c r="B55" s="543" t="s">
        <v>305</v>
      </c>
      <c r="C55" s="615"/>
      <c r="D55" s="303">
        <f>1/$C$12*D12*$H$18</f>
        <v>0.27349726775956285</v>
      </c>
      <c r="E55" s="296">
        <f>1/$C$12*E12*$H$18</f>
        <v>0.27349726775956285</v>
      </c>
      <c r="F55" s="296">
        <f>1/$C$12*F12*$H$18</f>
        <v>0.2765027322404372</v>
      </c>
      <c r="G55" s="296">
        <f>1/$C$12*G12*$H$18</f>
        <v>0.2765027322404372</v>
      </c>
      <c r="H55" s="303">
        <f>1/$C$12*H12*$I$18</f>
        <v>0.1058743169398907</v>
      </c>
      <c r="I55" s="301">
        <f>1/$C$12*I12*$I$18</f>
        <v>9.9043715846994534E-2</v>
      </c>
      <c r="J55" s="301">
        <f t="shared" ref="J55:R55" si="26">1/$C$12*J12*$I$18</f>
        <v>0.1058743169398907</v>
      </c>
      <c r="K55" s="301">
        <f t="shared" si="26"/>
        <v>0.10245901639344261</v>
      </c>
      <c r="L55" s="301">
        <f t="shared" si="26"/>
        <v>0.1058743169398907</v>
      </c>
      <c r="M55" s="301">
        <f>1/$C$12*M12*$I$18</f>
        <v>0.10245901639344261</v>
      </c>
      <c r="N55" s="301">
        <f t="shared" si="26"/>
        <v>0.1058743169398907</v>
      </c>
      <c r="O55" s="301">
        <f t="shared" si="26"/>
        <v>0.1058743169398907</v>
      </c>
      <c r="P55" s="301">
        <f>1/$C$12*P12*$I$18</f>
        <v>0.10245901639344261</v>
      </c>
      <c r="Q55" s="301">
        <f t="shared" si="26"/>
        <v>0.1058743169398907</v>
      </c>
      <c r="R55" s="301">
        <f t="shared" si="26"/>
        <v>0.10245901639344261</v>
      </c>
      <c r="S55" s="298">
        <f>1/$C$12*S12*$I$18</f>
        <v>0.1058743169398907</v>
      </c>
      <c r="T55" s="301">
        <f>1/$C$12*$J$18</f>
        <v>4.0983606557377051E-3</v>
      </c>
      <c r="U55" s="301">
        <f t="shared" ref="U55:AE55" si="27">1/$C$12*$J$18</f>
        <v>4.0983606557377051E-3</v>
      </c>
      <c r="V55" s="301">
        <f t="shared" si="27"/>
        <v>4.0983606557377051E-3</v>
      </c>
      <c r="W55" s="301">
        <f t="shared" si="27"/>
        <v>4.0983606557377051E-3</v>
      </c>
      <c r="X55" s="301">
        <f>1/$C$12*$J$18</f>
        <v>4.0983606557377051E-3</v>
      </c>
      <c r="Y55" s="301">
        <f t="shared" si="27"/>
        <v>4.0983606557377051E-3</v>
      </c>
      <c r="Z55" s="301">
        <f t="shared" si="27"/>
        <v>4.0983606557377051E-3</v>
      </c>
      <c r="AA55" s="301">
        <f>1/$C$12*$J$18</f>
        <v>4.0983606557377051E-3</v>
      </c>
      <c r="AB55" s="301">
        <f t="shared" si="27"/>
        <v>4.0983606557377051E-3</v>
      </c>
      <c r="AC55" s="301">
        <f t="shared" si="27"/>
        <v>4.0983606557377051E-3</v>
      </c>
      <c r="AD55" s="301">
        <f t="shared" si="27"/>
        <v>4.0983606557377051E-3</v>
      </c>
      <c r="AE55" s="298">
        <f t="shared" si="27"/>
        <v>4.0983606557377051E-3</v>
      </c>
      <c r="AF55" s="301">
        <f>1/$C$12*$K$18</f>
        <v>4.6448087431693987E-3</v>
      </c>
      <c r="AG55" s="301">
        <f t="shared" ref="AG55:AQ55" si="28">1/$C$12*$K$18</f>
        <v>4.6448087431693987E-3</v>
      </c>
      <c r="AH55" s="301">
        <f t="shared" si="28"/>
        <v>4.6448087431693987E-3</v>
      </c>
      <c r="AI55" s="301">
        <f t="shared" si="28"/>
        <v>4.6448087431693987E-3</v>
      </c>
      <c r="AJ55" s="301">
        <f t="shared" si="28"/>
        <v>4.6448087431693987E-3</v>
      </c>
      <c r="AK55" s="301">
        <f t="shared" si="28"/>
        <v>4.6448087431693987E-3</v>
      </c>
      <c r="AL55" s="301">
        <f t="shared" si="28"/>
        <v>4.6448087431693987E-3</v>
      </c>
      <c r="AM55" s="301">
        <f t="shared" si="28"/>
        <v>4.6448087431693987E-3</v>
      </c>
      <c r="AN55" s="301">
        <f t="shared" si="28"/>
        <v>4.6448087431693987E-3</v>
      </c>
      <c r="AO55" s="301">
        <f t="shared" si="28"/>
        <v>4.6448087431693987E-3</v>
      </c>
      <c r="AP55" s="301">
        <f t="shared" si="28"/>
        <v>4.6448087431693987E-3</v>
      </c>
      <c r="AQ55" s="363">
        <f t="shared" si="28"/>
        <v>4.6448087431693987E-3</v>
      </c>
    </row>
    <row r="56" spans="2:43" x14ac:dyDescent="0.25">
      <c r="B56" s="543" t="s">
        <v>9</v>
      </c>
      <c r="C56" s="615"/>
      <c r="D56" s="303">
        <f>1/$C$12*D12*$L$18*D31</f>
        <v>0.46618852459016391</v>
      </c>
      <c r="E56" s="296">
        <f>1/$C$12*E12*$L$18*E31</f>
        <v>0.21755464480874315</v>
      </c>
      <c r="F56" s="296">
        <f>1/$C$12*F12*$L$18*F31</f>
        <v>0.15396174863387979</v>
      </c>
      <c r="G56" s="296">
        <f>1/$C$12*G12*$L$18*G31</f>
        <v>0.41161202185792356</v>
      </c>
      <c r="H56" s="303">
        <f>1/$C$12*H12*$M$18*H31</f>
        <v>0.21979508196721312</v>
      </c>
      <c r="I56" s="301">
        <f>1/$C$12*I12*$M$18*I31</f>
        <v>0.16163934426229509</v>
      </c>
      <c r="J56" s="301">
        <f t="shared" ref="J56:S56" si="29">1/$C$12*J12*$M$18*J31</f>
        <v>0.1765983606557377</v>
      </c>
      <c r="K56" s="301">
        <f t="shared" si="29"/>
        <v>0.10942622950819672</v>
      </c>
      <c r="L56" s="301">
        <f t="shared" si="29"/>
        <v>8.8934426229508187E-2</v>
      </c>
      <c r="M56" s="301">
        <f>1/$C$12*M12*$M$18*M31</f>
        <v>6.5163934426229517E-2</v>
      </c>
      <c r="N56" s="301">
        <f t="shared" si="29"/>
        <v>5.463114754098361E-2</v>
      </c>
      <c r="O56" s="301">
        <f t="shared" si="29"/>
        <v>6.098360655737705E-2</v>
      </c>
      <c r="P56" s="301">
        <f>1/$C$12*P12*$M$18*P31</f>
        <v>6.8852459016393447E-2</v>
      </c>
      <c r="Q56" s="301">
        <f t="shared" si="29"/>
        <v>0.12450819672131147</v>
      </c>
      <c r="R56" s="301">
        <f t="shared" si="29"/>
        <v>0.15737704918032788</v>
      </c>
      <c r="S56" s="298">
        <f t="shared" si="29"/>
        <v>0.21090163934426229</v>
      </c>
      <c r="T56" s="301">
        <f>1/$C$12*$N$18*T31</f>
        <v>1.418032786885246E-2</v>
      </c>
      <c r="U56" s="301">
        <f t="shared" ref="U56:AE56" si="30">1/$C$12*$N$18*U31</f>
        <v>1.1147540983606558E-2</v>
      </c>
      <c r="V56" s="301">
        <f t="shared" si="30"/>
        <v>1.139344262295082E-2</v>
      </c>
      <c r="W56" s="301">
        <f t="shared" si="30"/>
        <v>7.2950819672131153E-3</v>
      </c>
      <c r="X56" s="301">
        <f>1/$C$12*$N$18*X31</f>
        <v>5.7377049180327867E-3</v>
      </c>
      <c r="Y56" s="301">
        <f t="shared" si="30"/>
        <v>4.3442622950819673E-3</v>
      </c>
      <c r="Z56" s="301">
        <f t="shared" si="30"/>
        <v>3.5245901639344266E-3</v>
      </c>
      <c r="AA56" s="301">
        <f t="shared" si="30"/>
        <v>3.9344262295081967E-3</v>
      </c>
      <c r="AB56" s="301">
        <f t="shared" si="30"/>
        <v>4.5901639344262304E-3</v>
      </c>
      <c r="AC56" s="301">
        <f t="shared" si="30"/>
        <v>8.0327868852459027E-3</v>
      </c>
      <c r="AD56" s="301">
        <f>1/$C$12*$N$18*AD31</f>
        <v>1.0491803278688525E-2</v>
      </c>
      <c r="AE56" s="298">
        <f t="shared" si="30"/>
        <v>1.360655737704918E-2</v>
      </c>
      <c r="AF56" s="301">
        <f>1/$C$12*$N$18*T31</f>
        <v>1.418032786885246E-2</v>
      </c>
      <c r="AG56" s="301">
        <f t="shared" ref="AG56:AQ56" si="31">1/$C$12*$N$18*U31</f>
        <v>1.1147540983606558E-2</v>
      </c>
      <c r="AH56" s="301">
        <f t="shared" si="31"/>
        <v>1.139344262295082E-2</v>
      </c>
      <c r="AI56" s="301">
        <f t="shared" si="31"/>
        <v>7.2950819672131153E-3</v>
      </c>
      <c r="AJ56" s="301">
        <f t="shared" si="31"/>
        <v>5.7377049180327867E-3</v>
      </c>
      <c r="AK56" s="301">
        <f t="shared" si="31"/>
        <v>4.3442622950819673E-3</v>
      </c>
      <c r="AL56" s="301">
        <f t="shared" si="31"/>
        <v>3.5245901639344266E-3</v>
      </c>
      <c r="AM56" s="301">
        <f t="shared" si="31"/>
        <v>3.9344262295081967E-3</v>
      </c>
      <c r="AN56" s="301">
        <f t="shared" si="31"/>
        <v>4.5901639344262304E-3</v>
      </c>
      <c r="AO56" s="301">
        <f t="shared" si="31"/>
        <v>8.0327868852459027E-3</v>
      </c>
      <c r="AP56" s="301">
        <f t="shared" si="31"/>
        <v>1.0491803278688525E-2</v>
      </c>
      <c r="AQ56" s="363">
        <f t="shared" si="31"/>
        <v>1.360655737704918E-2</v>
      </c>
    </row>
    <row r="57" spans="2:43" x14ac:dyDescent="0.25">
      <c r="B57" s="543" t="s">
        <v>306</v>
      </c>
      <c r="C57" s="607"/>
      <c r="D57" s="303">
        <f>1/$C$12*D12*$L$18*D25</f>
        <v>0.46618852459016391</v>
      </c>
      <c r="E57" s="296">
        <f>1/$C$12*E12*$L$18*E25</f>
        <v>0.21755464480874315</v>
      </c>
      <c r="F57" s="296">
        <f>1/$C$12*F12*$L$18*F25</f>
        <v>0.15396174863387979</v>
      </c>
      <c r="G57" s="296">
        <f>1/$C$12*G12*$L$18*G25</f>
        <v>0.41161202185792356</v>
      </c>
      <c r="H57" s="303">
        <f>1/$C$12*H12*$M$18*H25</f>
        <v>0.21979508196721312</v>
      </c>
      <c r="I57" s="301">
        <f>1/$C$12*I12*$M$18*I25</f>
        <v>0.16163934426229509</v>
      </c>
      <c r="J57" s="301">
        <f t="shared" ref="J57:S57" si="32">1/$C$12*J12*$M$18*J25</f>
        <v>0.1765983606557377</v>
      </c>
      <c r="K57" s="301">
        <f t="shared" si="32"/>
        <v>0.10942622950819672</v>
      </c>
      <c r="L57" s="301">
        <f t="shared" si="32"/>
        <v>8.8934426229508187E-2</v>
      </c>
      <c r="M57" s="301">
        <f>1/$C$12*M12*$M$18*M25</f>
        <v>6.5163934426229517E-2</v>
      </c>
      <c r="N57" s="301">
        <f t="shared" si="32"/>
        <v>5.463114754098361E-2</v>
      </c>
      <c r="O57" s="301">
        <f t="shared" si="32"/>
        <v>6.098360655737705E-2</v>
      </c>
      <c r="P57" s="301">
        <f t="shared" si="32"/>
        <v>6.8852459016393447E-2</v>
      </c>
      <c r="Q57" s="301">
        <f>1/$C$12*Q12*$M$18*Q25</f>
        <v>0.12450819672131147</v>
      </c>
      <c r="R57" s="301">
        <f t="shared" si="32"/>
        <v>0.15737704918032788</v>
      </c>
      <c r="S57" s="298">
        <f t="shared" si="32"/>
        <v>0.21090163934426229</v>
      </c>
      <c r="T57" s="301">
        <f>1/$C$12*$N$18*T25</f>
        <v>1.418032786885246E-2</v>
      </c>
      <c r="U57" s="301">
        <f t="shared" ref="U57:AD57" si="33">1/$C$12*$N$18*U25</f>
        <v>1.1147540983606558E-2</v>
      </c>
      <c r="V57" s="301">
        <f t="shared" si="33"/>
        <v>1.139344262295082E-2</v>
      </c>
      <c r="W57" s="301">
        <f t="shared" si="33"/>
        <v>7.2950819672131153E-3</v>
      </c>
      <c r="X57" s="301">
        <f t="shared" si="33"/>
        <v>5.7377049180327867E-3</v>
      </c>
      <c r="Y57" s="301">
        <f t="shared" si="33"/>
        <v>4.3442622950819673E-3</v>
      </c>
      <c r="Z57" s="301">
        <f t="shared" si="33"/>
        <v>3.5245901639344266E-3</v>
      </c>
      <c r="AA57" s="301">
        <f t="shared" si="33"/>
        <v>3.9344262295081967E-3</v>
      </c>
      <c r="AB57" s="301">
        <f t="shared" si="33"/>
        <v>4.5901639344262304E-3</v>
      </c>
      <c r="AC57" s="301">
        <f t="shared" si="33"/>
        <v>8.0327868852459027E-3</v>
      </c>
      <c r="AD57" s="301">
        <f t="shared" si="33"/>
        <v>1.0491803278688525E-2</v>
      </c>
      <c r="AE57" s="298">
        <f>1/$C$12*$N$18*AE25</f>
        <v>1.360655737704918E-2</v>
      </c>
      <c r="AF57" s="301">
        <f>1/$C$12*$N$18*T25</f>
        <v>1.418032786885246E-2</v>
      </c>
      <c r="AG57" s="301">
        <f t="shared" ref="AG57:AQ57" si="34">1/$C$12*$N$18*U25</f>
        <v>1.1147540983606558E-2</v>
      </c>
      <c r="AH57" s="301">
        <f t="shared" si="34"/>
        <v>1.139344262295082E-2</v>
      </c>
      <c r="AI57" s="301">
        <f t="shared" si="34"/>
        <v>7.2950819672131153E-3</v>
      </c>
      <c r="AJ57" s="301">
        <f t="shared" si="34"/>
        <v>5.7377049180327867E-3</v>
      </c>
      <c r="AK57" s="301">
        <f t="shared" si="34"/>
        <v>4.3442622950819673E-3</v>
      </c>
      <c r="AL57" s="301">
        <f t="shared" si="34"/>
        <v>3.5245901639344266E-3</v>
      </c>
      <c r="AM57" s="301">
        <f t="shared" si="34"/>
        <v>3.9344262295081967E-3</v>
      </c>
      <c r="AN57" s="301">
        <f t="shared" si="34"/>
        <v>4.5901639344262304E-3</v>
      </c>
      <c r="AO57" s="301">
        <f t="shared" si="34"/>
        <v>8.0327868852459027E-3</v>
      </c>
      <c r="AP57" s="301">
        <f t="shared" si="34"/>
        <v>1.0491803278688525E-2</v>
      </c>
      <c r="AQ57" s="363">
        <f t="shared" si="34"/>
        <v>1.360655737704918E-2</v>
      </c>
    </row>
    <row r="58" spans="2:43" x14ac:dyDescent="0.25">
      <c r="B58" s="349" t="s">
        <v>82</v>
      </c>
      <c r="C58" s="316">
        <f>ROUND('Annex 2. Prices 2024'!F120,2)</f>
        <v>142.77000000000001</v>
      </c>
      <c r="D58" s="304">
        <f>$C$58*D54</f>
        <v>39.04720491803279</v>
      </c>
      <c r="E58" s="295">
        <f t="shared" ref="E58:AQ58" si="35">$C$58*E54</f>
        <v>39.04720491803279</v>
      </c>
      <c r="F58" s="295">
        <f t="shared" si="35"/>
        <v>39.476295081967223</v>
      </c>
      <c r="G58" s="299">
        <f t="shared" si="35"/>
        <v>39.476295081967223</v>
      </c>
      <c r="H58" s="304">
        <f t="shared" si="35"/>
        <v>15.115676229508196</v>
      </c>
      <c r="I58" s="295">
        <f t="shared" si="35"/>
        <v>14.140471311475411</v>
      </c>
      <c r="J58" s="295">
        <f t="shared" si="35"/>
        <v>15.115676229508196</v>
      </c>
      <c r="K58" s="295">
        <f t="shared" si="35"/>
        <v>14.628073770491802</v>
      </c>
      <c r="L58" s="295">
        <f t="shared" si="35"/>
        <v>15.115676229508196</v>
      </c>
      <c r="M58" s="295">
        <f t="shared" si="35"/>
        <v>14.628073770491802</v>
      </c>
      <c r="N58" s="295">
        <f t="shared" si="35"/>
        <v>15.115676229508196</v>
      </c>
      <c r="O58" s="295">
        <f t="shared" si="35"/>
        <v>15.115676229508196</v>
      </c>
      <c r="P58" s="295">
        <f t="shared" si="35"/>
        <v>14.628073770491802</v>
      </c>
      <c r="Q58" s="295">
        <f t="shared" si="35"/>
        <v>15.115676229508196</v>
      </c>
      <c r="R58" s="295">
        <f t="shared" si="35"/>
        <v>14.628073770491802</v>
      </c>
      <c r="S58" s="299">
        <f t="shared" si="35"/>
        <v>15.115676229508196</v>
      </c>
      <c r="T58" s="304">
        <f t="shared" si="35"/>
        <v>0.58512295081967225</v>
      </c>
      <c r="U58" s="295">
        <f t="shared" si="35"/>
        <v>0.58512295081967225</v>
      </c>
      <c r="V58" s="295">
        <f t="shared" si="35"/>
        <v>0.58512295081967225</v>
      </c>
      <c r="W58" s="295">
        <f t="shared" si="35"/>
        <v>0.58512295081967225</v>
      </c>
      <c r="X58" s="295">
        <f t="shared" si="35"/>
        <v>0.58512295081967225</v>
      </c>
      <c r="Y58" s="295">
        <f t="shared" si="35"/>
        <v>0.58512295081967225</v>
      </c>
      <c r="Z58" s="295">
        <f t="shared" si="35"/>
        <v>0.58512295081967225</v>
      </c>
      <c r="AA58" s="295">
        <f t="shared" si="35"/>
        <v>0.58512295081967225</v>
      </c>
      <c r="AB58" s="295">
        <f t="shared" si="35"/>
        <v>0.58512295081967225</v>
      </c>
      <c r="AC58" s="295">
        <f t="shared" si="35"/>
        <v>0.58512295081967225</v>
      </c>
      <c r="AD58" s="295">
        <f t="shared" si="35"/>
        <v>0.58512295081967225</v>
      </c>
      <c r="AE58" s="299">
        <f t="shared" si="35"/>
        <v>0.58512295081967225</v>
      </c>
      <c r="AF58" s="302">
        <f t="shared" si="35"/>
        <v>0.66313934426229515</v>
      </c>
      <c r="AG58" s="295">
        <f t="shared" si="35"/>
        <v>0.66313934426229515</v>
      </c>
      <c r="AH58" s="295">
        <f t="shared" si="35"/>
        <v>0.66313934426229515</v>
      </c>
      <c r="AI58" s="295">
        <f t="shared" si="35"/>
        <v>0.66313934426229515</v>
      </c>
      <c r="AJ58" s="295">
        <f t="shared" si="35"/>
        <v>0.66313934426229515</v>
      </c>
      <c r="AK58" s="295">
        <f t="shared" si="35"/>
        <v>0.66313934426229515</v>
      </c>
      <c r="AL58" s="295">
        <f t="shared" si="35"/>
        <v>0.66313934426229515</v>
      </c>
      <c r="AM58" s="295">
        <f t="shared" si="35"/>
        <v>0.66313934426229515</v>
      </c>
      <c r="AN58" s="295">
        <f t="shared" si="35"/>
        <v>0.66313934426229515</v>
      </c>
      <c r="AO58" s="295">
        <f t="shared" si="35"/>
        <v>0.66313934426229515</v>
      </c>
      <c r="AP58" s="295">
        <f t="shared" si="35"/>
        <v>0.66313934426229515</v>
      </c>
      <c r="AQ58" s="364">
        <f t="shared" si="35"/>
        <v>0.66313934426229515</v>
      </c>
    </row>
    <row r="59" spans="2:43" x14ac:dyDescent="0.25">
      <c r="B59" s="349" t="s">
        <v>13</v>
      </c>
      <c r="C59" s="316">
        <f>ROUND('Annex 2. Prices 2024'!F122,2)</f>
        <v>35.96</v>
      </c>
      <c r="D59" s="304">
        <f>$C$59*D54</f>
        <v>9.8349617486338801</v>
      </c>
      <c r="E59" s="295">
        <f t="shared" ref="E59:AQ59" si="36">$C$59*E54</f>
        <v>9.8349617486338801</v>
      </c>
      <c r="F59" s="295">
        <f t="shared" si="36"/>
        <v>9.9430382513661222</v>
      </c>
      <c r="G59" s="299">
        <f t="shared" si="36"/>
        <v>9.9430382513661222</v>
      </c>
      <c r="H59" s="304">
        <f t="shared" si="36"/>
        <v>3.8072404371584696</v>
      </c>
      <c r="I59" s="295">
        <f t="shared" si="36"/>
        <v>3.5616120218579237</v>
      </c>
      <c r="J59" s="295">
        <f t="shared" si="36"/>
        <v>3.8072404371584696</v>
      </c>
      <c r="K59" s="295">
        <f t="shared" si="36"/>
        <v>3.6844262295081962</v>
      </c>
      <c r="L59" s="295">
        <f t="shared" si="36"/>
        <v>3.8072404371584696</v>
      </c>
      <c r="M59" s="295">
        <f t="shared" si="36"/>
        <v>3.6844262295081962</v>
      </c>
      <c r="N59" s="295">
        <f t="shared" si="36"/>
        <v>3.8072404371584696</v>
      </c>
      <c r="O59" s="295">
        <f t="shared" si="36"/>
        <v>3.8072404371584696</v>
      </c>
      <c r="P59" s="295">
        <f t="shared" si="36"/>
        <v>3.6844262295081962</v>
      </c>
      <c r="Q59" s="295">
        <f t="shared" si="36"/>
        <v>3.8072404371584696</v>
      </c>
      <c r="R59" s="295">
        <f t="shared" si="36"/>
        <v>3.6844262295081962</v>
      </c>
      <c r="S59" s="299">
        <f t="shared" si="36"/>
        <v>3.8072404371584696</v>
      </c>
      <c r="T59" s="304">
        <f>$C$59*T54</f>
        <v>0.14737704918032787</v>
      </c>
      <c r="U59" s="295">
        <f t="shared" si="36"/>
        <v>0.14737704918032787</v>
      </c>
      <c r="V59" s="295">
        <f t="shared" si="36"/>
        <v>0.14737704918032787</v>
      </c>
      <c r="W59" s="295">
        <f t="shared" si="36"/>
        <v>0.14737704918032787</v>
      </c>
      <c r="X59" s="295">
        <f t="shared" si="36"/>
        <v>0.14737704918032787</v>
      </c>
      <c r="Y59" s="295">
        <f t="shared" si="36"/>
        <v>0.14737704918032787</v>
      </c>
      <c r="Z59" s="295">
        <f t="shared" si="36"/>
        <v>0.14737704918032787</v>
      </c>
      <c r="AA59" s="295">
        <f t="shared" si="36"/>
        <v>0.14737704918032787</v>
      </c>
      <c r="AB59" s="295">
        <f t="shared" si="36"/>
        <v>0.14737704918032787</v>
      </c>
      <c r="AC59" s="295">
        <f t="shared" si="36"/>
        <v>0.14737704918032787</v>
      </c>
      <c r="AD59" s="295">
        <f t="shared" si="36"/>
        <v>0.14737704918032787</v>
      </c>
      <c r="AE59" s="299">
        <f t="shared" si="36"/>
        <v>0.14737704918032787</v>
      </c>
      <c r="AF59" s="302">
        <f t="shared" si="36"/>
        <v>0.16702732240437157</v>
      </c>
      <c r="AG59" s="295">
        <f t="shared" si="36"/>
        <v>0.16702732240437157</v>
      </c>
      <c r="AH59" s="295">
        <f t="shared" si="36"/>
        <v>0.16702732240437157</v>
      </c>
      <c r="AI59" s="295">
        <f t="shared" si="36"/>
        <v>0.16702732240437157</v>
      </c>
      <c r="AJ59" s="295">
        <f t="shared" si="36"/>
        <v>0.16702732240437157</v>
      </c>
      <c r="AK59" s="295">
        <f t="shared" si="36"/>
        <v>0.16702732240437157</v>
      </c>
      <c r="AL59" s="295">
        <f t="shared" si="36"/>
        <v>0.16702732240437157</v>
      </c>
      <c r="AM59" s="295">
        <f t="shared" si="36"/>
        <v>0.16702732240437157</v>
      </c>
      <c r="AN59" s="295">
        <f t="shared" si="36"/>
        <v>0.16702732240437157</v>
      </c>
      <c r="AO59" s="295">
        <f t="shared" si="36"/>
        <v>0.16702732240437157</v>
      </c>
      <c r="AP59" s="295">
        <f t="shared" si="36"/>
        <v>0.16702732240437157</v>
      </c>
      <c r="AQ59" s="364">
        <f t="shared" si="36"/>
        <v>0.16702732240437157</v>
      </c>
    </row>
    <row r="60" spans="2:43" x14ac:dyDescent="0.25">
      <c r="B60" s="349" t="s">
        <v>6</v>
      </c>
      <c r="C60" s="316">
        <f>ROUND('Annex 2. Prices 2024'!F123,2)</f>
        <v>142.77000000000001</v>
      </c>
      <c r="D60" s="304">
        <f>$C$60*D54</f>
        <v>39.04720491803279</v>
      </c>
      <c r="E60" s="295">
        <f t="shared" ref="E60:AQ60" si="37">$C$60*E54</f>
        <v>39.04720491803279</v>
      </c>
      <c r="F60" s="295">
        <f t="shared" si="37"/>
        <v>39.476295081967223</v>
      </c>
      <c r="G60" s="299">
        <f t="shared" si="37"/>
        <v>39.476295081967223</v>
      </c>
      <c r="H60" s="304">
        <f t="shared" si="37"/>
        <v>15.115676229508196</v>
      </c>
      <c r="I60" s="295">
        <f t="shared" si="37"/>
        <v>14.140471311475411</v>
      </c>
      <c r="J60" s="295">
        <f t="shared" si="37"/>
        <v>15.115676229508196</v>
      </c>
      <c r="K60" s="295">
        <f t="shared" si="37"/>
        <v>14.628073770491802</v>
      </c>
      <c r="L60" s="295">
        <f t="shared" si="37"/>
        <v>15.115676229508196</v>
      </c>
      <c r="M60" s="295">
        <f t="shared" si="37"/>
        <v>14.628073770491802</v>
      </c>
      <c r="N60" s="295">
        <f t="shared" si="37"/>
        <v>15.115676229508196</v>
      </c>
      <c r="O60" s="295">
        <f t="shared" si="37"/>
        <v>15.115676229508196</v>
      </c>
      <c r="P60" s="295">
        <f t="shared" si="37"/>
        <v>14.628073770491802</v>
      </c>
      <c r="Q60" s="295">
        <f t="shared" si="37"/>
        <v>15.115676229508196</v>
      </c>
      <c r="R60" s="295">
        <f t="shared" si="37"/>
        <v>14.628073770491802</v>
      </c>
      <c r="S60" s="299">
        <f t="shared" si="37"/>
        <v>15.115676229508196</v>
      </c>
      <c r="T60" s="304">
        <f t="shared" si="37"/>
        <v>0.58512295081967225</v>
      </c>
      <c r="U60" s="295">
        <f t="shared" si="37"/>
        <v>0.58512295081967225</v>
      </c>
      <c r="V60" s="295">
        <f t="shared" si="37"/>
        <v>0.58512295081967225</v>
      </c>
      <c r="W60" s="295">
        <f t="shared" si="37"/>
        <v>0.58512295081967225</v>
      </c>
      <c r="X60" s="295">
        <f t="shared" si="37"/>
        <v>0.58512295081967225</v>
      </c>
      <c r="Y60" s="295">
        <f t="shared" si="37"/>
        <v>0.58512295081967225</v>
      </c>
      <c r="Z60" s="295">
        <f t="shared" si="37"/>
        <v>0.58512295081967225</v>
      </c>
      <c r="AA60" s="295">
        <f t="shared" si="37"/>
        <v>0.58512295081967225</v>
      </c>
      <c r="AB60" s="295">
        <f t="shared" si="37"/>
        <v>0.58512295081967225</v>
      </c>
      <c r="AC60" s="295">
        <f t="shared" si="37"/>
        <v>0.58512295081967225</v>
      </c>
      <c r="AD60" s="295">
        <f t="shared" si="37"/>
        <v>0.58512295081967225</v>
      </c>
      <c r="AE60" s="299">
        <f t="shared" si="37"/>
        <v>0.58512295081967225</v>
      </c>
      <c r="AF60" s="302">
        <f t="shared" si="37"/>
        <v>0.66313934426229515</v>
      </c>
      <c r="AG60" s="295">
        <f t="shared" si="37"/>
        <v>0.66313934426229515</v>
      </c>
      <c r="AH60" s="295">
        <f t="shared" si="37"/>
        <v>0.66313934426229515</v>
      </c>
      <c r="AI60" s="295">
        <f t="shared" si="37"/>
        <v>0.66313934426229515</v>
      </c>
      <c r="AJ60" s="295">
        <f t="shared" si="37"/>
        <v>0.66313934426229515</v>
      </c>
      <c r="AK60" s="295">
        <f t="shared" si="37"/>
        <v>0.66313934426229515</v>
      </c>
      <c r="AL60" s="295">
        <f t="shared" si="37"/>
        <v>0.66313934426229515</v>
      </c>
      <c r="AM60" s="295">
        <f t="shared" si="37"/>
        <v>0.66313934426229515</v>
      </c>
      <c r="AN60" s="295">
        <f t="shared" si="37"/>
        <v>0.66313934426229515</v>
      </c>
      <c r="AO60" s="295">
        <f t="shared" si="37"/>
        <v>0.66313934426229515</v>
      </c>
      <c r="AP60" s="295">
        <f t="shared" si="37"/>
        <v>0.66313934426229515</v>
      </c>
      <c r="AQ60" s="364">
        <f t="shared" si="37"/>
        <v>0.66313934426229515</v>
      </c>
    </row>
    <row r="61" spans="2:43" x14ac:dyDescent="0.25">
      <c r="B61" s="349" t="s">
        <v>7</v>
      </c>
      <c r="C61" s="316">
        <f>ROUND('Annex 2. Prices 2024'!F124,2)</f>
        <v>142.77000000000001</v>
      </c>
      <c r="D61" s="304">
        <f>$C$61*D54</f>
        <v>39.04720491803279</v>
      </c>
      <c r="E61" s="295">
        <f t="shared" ref="E61:AQ61" si="38">$C$61*E54</f>
        <v>39.04720491803279</v>
      </c>
      <c r="F61" s="295">
        <f t="shared" si="38"/>
        <v>39.476295081967223</v>
      </c>
      <c r="G61" s="299">
        <f t="shared" si="38"/>
        <v>39.476295081967223</v>
      </c>
      <c r="H61" s="304">
        <f t="shared" si="38"/>
        <v>15.115676229508196</v>
      </c>
      <c r="I61" s="295">
        <f t="shared" si="38"/>
        <v>14.140471311475411</v>
      </c>
      <c r="J61" s="295">
        <f t="shared" si="38"/>
        <v>15.115676229508196</v>
      </c>
      <c r="K61" s="295">
        <f t="shared" si="38"/>
        <v>14.628073770491802</v>
      </c>
      <c r="L61" s="295">
        <f t="shared" si="38"/>
        <v>15.115676229508196</v>
      </c>
      <c r="M61" s="295">
        <f t="shared" si="38"/>
        <v>14.628073770491802</v>
      </c>
      <c r="N61" s="295">
        <f t="shared" si="38"/>
        <v>15.115676229508196</v>
      </c>
      <c r="O61" s="295">
        <f t="shared" si="38"/>
        <v>15.115676229508196</v>
      </c>
      <c r="P61" s="295">
        <f t="shared" si="38"/>
        <v>14.628073770491802</v>
      </c>
      <c r="Q61" s="295">
        <f t="shared" si="38"/>
        <v>15.115676229508196</v>
      </c>
      <c r="R61" s="295">
        <f t="shared" si="38"/>
        <v>14.628073770491802</v>
      </c>
      <c r="S61" s="299">
        <f t="shared" si="38"/>
        <v>15.115676229508196</v>
      </c>
      <c r="T61" s="304">
        <f>$C$61*T54</f>
        <v>0.58512295081967225</v>
      </c>
      <c r="U61" s="295">
        <f t="shared" si="38"/>
        <v>0.58512295081967225</v>
      </c>
      <c r="V61" s="295">
        <f t="shared" si="38"/>
        <v>0.58512295081967225</v>
      </c>
      <c r="W61" s="295">
        <f t="shared" si="38"/>
        <v>0.58512295081967225</v>
      </c>
      <c r="X61" s="295">
        <f t="shared" si="38"/>
        <v>0.58512295081967225</v>
      </c>
      <c r="Y61" s="295">
        <f t="shared" si="38"/>
        <v>0.58512295081967225</v>
      </c>
      <c r="Z61" s="295">
        <f t="shared" si="38"/>
        <v>0.58512295081967225</v>
      </c>
      <c r="AA61" s="295">
        <f t="shared" si="38"/>
        <v>0.58512295081967225</v>
      </c>
      <c r="AB61" s="295">
        <f t="shared" si="38"/>
        <v>0.58512295081967225</v>
      </c>
      <c r="AC61" s="295">
        <f t="shared" si="38"/>
        <v>0.58512295081967225</v>
      </c>
      <c r="AD61" s="295">
        <f t="shared" si="38"/>
        <v>0.58512295081967225</v>
      </c>
      <c r="AE61" s="299">
        <f t="shared" si="38"/>
        <v>0.58512295081967225</v>
      </c>
      <c r="AF61" s="302">
        <f t="shared" si="38"/>
        <v>0.66313934426229515</v>
      </c>
      <c r="AG61" s="295">
        <f t="shared" si="38"/>
        <v>0.66313934426229515</v>
      </c>
      <c r="AH61" s="295">
        <f t="shared" si="38"/>
        <v>0.66313934426229515</v>
      </c>
      <c r="AI61" s="295">
        <f t="shared" si="38"/>
        <v>0.66313934426229515</v>
      </c>
      <c r="AJ61" s="295">
        <f t="shared" si="38"/>
        <v>0.66313934426229515</v>
      </c>
      <c r="AK61" s="295">
        <f t="shared" si="38"/>
        <v>0.66313934426229515</v>
      </c>
      <c r="AL61" s="295">
        <f t="shared" si="38"/>
        <v>0.66313934426229515</v>
      </c>
      <c r="AM61" s="295">
        <f t="shared" si="38"/>
        <v>0.66313934426229515</v>
      </c>
      <c r="AN61" s="295">
        <f t="shared" si="38"/>
        <v>0.66313934426229515</v>
      </c>
      <c r="AO61" s="295">
        <f t="shared" si="38"/>
        <v>0.66313934426229515</v>
      </c>
      <c r="AP61" s="295">
        <f t="shared" si="38"/>
        <v>0.66313934426229515</v>
      </c>
      <c r="AQ61" s="364">
        <f t="shared" si="38"/>
        <v>0.66313934426229515</v>
      </c>
    </row>
    <row r="62" spans="2:43" x14ac:dyDescent="0.25">
      <c r="B62" s="349" t="s">
        <v>307</v>
      </c>
      <c r="C62" s="316">
        <f>ROUND('Annex 2. Prices 2024'!F125,2)</f>
        <v>142.77000000000001</v>
      </c>
      <c r="D62" s="304">
        <f>$C$62*D54</f>
        <v>39.04720491803279</v>
      </c>
      <c r="E62" s="295">
        <f t="shared" ref="E62:AQ62" si="39">$C$62*E54</f>
        <v>39.04720491803279</v>
      </c>
      <c r="F62" s="295">
        <f t="shared" si="39"/>
        <v>39.476295081967223</v>
      </c>
      <c r="G62" s="299">
        <f t="shared" si="39"/>
        <v>39.476295081967223</v>
      </c>
      <c r="H62" s="304">
        <f t="shared" si="39"/>
        <v>15.115676229508196</v>
      </c>
      <c r="I62" s="295">
        <f t="shared" si="39"/>
        <v>14.140471311475411</v>
      </c>
      <c r="J62" s="295">
        <f t="shared" si="39"/>
        <v>15.115676229508196</v>
      </c>
      <c r="K62" s="295">
        <f t="shared" si="39"/>
        <v>14.628073770491802</v>
      </c>
      <c r="L62" s="295">
        <f t="shared" si="39"/>
        <v>15.115676229508196</v>
      </c>
      <c r="M62" s="295">
        <f t="shared" si="39"/>
        <v>14.628073770491802</v>
      </c>
      <c r="N62" s="295">
        <f t="shared" si="39"/>
        <v>15.115676229508196</v>
      </c>
      <c r="O62" s="295">
        <f t="shared" si="39"/>
        <v>15.115676229508196</v>
      </c>
      <c r="P62" s="295">
        <f t="shared" si="39"/>
        <v>14.628073770491802</v>
      </c>
      <c r="Q62" s="295">
        <f t="shared" si="39"/>
        <v>15.115676229508196</v>
      </c>
      <c r="R62" s="295">
        <f t="shared" si="39"/>
        <v>14.628073770491802</v>
      </c>
      <c r="S62" s="299">
        <f t="shared" si="39"/>
        <v>15.115676229508196</v>
      </c>
      <c r="T62" s="304">
        <f t="shared" si="39"/>
        <v>0.58512295081967225</v>
      </c>
      <c r="U62" s="295">
        <f t="shared" si="39"/>
        <v>0.58512295081967225</v>
      </c>
      <c r="V62" s="295">
        <f t="shared" si="39"/>
        <v>0.58512295081967225</v>
      </c>
      <c r="W62" s="295">
        <f t="shared" si="39"/>
        <v>0.58512295081967225</v>
      </c>
      <c r="X62" s="295">
        <f t="shared" si="39"/>
        <v>0.58512295081967225</v>
      </c>
      <c r="Y62" s="295">
        <f t="shared" si="39"/>
        <v>0.58512295081967225</v>
      </c>
      <c r="Z62" s="295">
        <f t="shared" si="39"/>
        <v>0.58512295081967225</v>
      </c>
      <c r="AA62" s="295">
        <f t="shared" si="39"/>
        <v>0.58512295081967225</v>
      </c>
      <c r="AB62" s="295">
        <f t="shared" si="39"/>
        <v>0.58512295081967225</v>
      </c>
      <c r="AC62" s="295">
        <f t="shared" si="39"/>
        <v>0.58512295081967225</v>
      </c>
      <c r="AD62" s="295">
        <f t="shared" si="39"/>
        <v>0.58512295081967225</v>
      </c>
      <c r="AE62" s="299">
        <f t="shared" si="39"/>
        <v>0.58512295081967225</v>
      </c>
      <c r="AF62" s="302">
        <f t="shared" si="39"/>
        <v>0.66313934426229515</v>
      </c>
      <c r="AG62" s="295">
        <f t="shared" si="39"/>
        <v>0.66313934426229515</v>
      </c>
      <c r="AH62" s="295">
        <f t="shared" si="39"/>
        <v>0.66313934426229515</v>
      </c>
      <c r="AI62" s="295">
        <f t="shared" si="39"/>
        <v>0.66313934426229515</v>
      </c>
      <c r="AJ62" s="295">
        <f t="shared" si="39"/>
        <v>0.66313934426229515</v>
      </c>
      <c r="AK62" s="295">
        <f t="shared" si="39"/>
        <v>0.66313934426229515</v>
      </c>
      <c r="AL62" s="295">
        <f t="shared" si="39"/>
        <v>0.66313934426229515</v>
      </c>
      <c r="AM62" s="295">
        <f t="shared" si="39"/>
        <v>0.66313934426229515</v>
      </c>
      <c r="AN62" s="295">
        <f t="shared" si="39"/>
        <v>0.66313934426229515</v>
      </c>
      <c r="AO62" s="295">
        <f t="shared" si="39"/>
        <v>0.66313934426229515</v>
      </c>
      <c r="AP62" s="295">
        <f t="shared" si="39"/>
        <v>0.66313934426229515</v>
      </c>
      <c r="AQ62" s="364">
        <f t="shared" si="39"/>
        <v>0.66313934426229515</v>
      </c>
    </row>
    <row r="63" spans="2:43" x14ac:dyDescent="0.25">
      <c r="B63" s="349" t="s">
        <v>8</v>
      </c>
      <c r="C63" s="316">
        <f>ROUND('Annex 2. Prices 2024'!F126,2)</f>
        <v>109.27</v>
      </c>
      <c r="D63" s="304">
        <f>+$C$63*D55</f>
        <v>29.885046448087429</v>
      </c>
      <c r="E63" s="295">
        <f t="shared" ref="E63:AQ63" si="40">+$C$63*E55</f>
        <v>29.885046448087429</v>
      </c>
      <c r="F63" s="295">
        <f t="shared" si="40"/>
        <v>30.213453551912572</v>
      </c>
      <c r="G63" s="299">
        <f t="shared" si="40"/>
        <v>30.213453551912572</v>
      </c>
      <c r="H63" s="304">
        <f t="shared" si="40"/>
        <v>11.568886612021856</v>
      </c>
      <c r="I63" s="295">
        <f t="shared" si="40"/>
        <v>10.822506830601093</v>
      </c>
      <c r="J63" s="295">
        <f t="shared" si="40"/>
        <v>11.568886612021856</v>
      </c>
      <c r="K63" s="295">
        <f t="shared" si="40"/>
        <v>11.195696721311474</v>
      </c>
      <c r="L63" s="295">
        <f t="shared" si="40"/>
        <v>11.568886612021856</v>
      </c>
      <c r="M63" s="295">
        <f t="shared" si="40"/>
        <v>11.195696721311474</v>
      </c>
      <c r="N63" s="295">
        <f t="shared" si="40"/>
        <v>11.568886612021856</v>
      </c>
      <c r="O63" s="295">
        <f t="shared" si="40"/>
        <v>11.568886612021856</v>
      </c>
      <c r="P63" s="295">
        <f t="shared" si="40"/>
        <v>11.195696721311474</v>
      </c>
      <c r="Q63" s="295">
        <f t="shared" si="40"/>
        <v>11.568886612021856</v>
      </c>
      <c r="R63" s="295">
        <f t="shared" si="40"/>
        <v>11.195696721311474</v>
      </c>
      <c r="S63" s="299">
        <f t="shared" si="40"/>
        <v>11.568886612021856</v>
      </c>
      <c r="T63" s="304">
        <f t="shared" si="40"/>
        <v>0.44782786885245901</v>
      </c>
      <c r="U63" s="295">
        <f t="shared" si="40"/>
        <v>0.44782786885245901</v>
      </c>
      <c r="V63" s="295">
        <f t="shared" si="40"/>
        <v>0.44782786885245901</v>
      </c>
      <c r="W63" s="295">
        <f t="shared" si="40"/>
        <v>0.44782786885245901</v>
      </c>
      <c r="X63" s="295">
        <f t="shared" si="40"/>
        <v>0.44782786885245901</v>
      </c>
      <c r="Y63" s="295">
        <f t="shared" si="40"/>
        <v>0.44782786885245901</v>
      </c>
      <c r="Z63" s="295">
        <f t="shared" si="40"/>
        <v>0.44782786885245901</v>
      </c>
      <c r="AA63" s="295">
        <f t="shared" si="40"/>
        <v>0.44782786885245901</v>
      </c>
      <c r="AB63" s="295">
        <f t="shared" si="40"/>
        <v>0.44782786885245901</v>
      </c>
      <c r="AC63" s="295">
        <f t="shared" si="40"/>
        <v>0.44782786885245901</v>
      </c>
      <c r="AD63" s="295">
        <f t="shared" si="40"/>
        <v>0.44782786885245901</v>
      </c>
      <c r="AE63" s="299">
        <f t="shared" si="40"/>
        <v>0.44782786885245901</v>
      </c>
      <c r="AF63" s="302">
        <f t="shared" si="40"/>
        <v>0.50753825136612019</v>
      </c>
      <c r="AG63" s="295">
        <f t="shared" si="40"/>
        <v>0.50753825136612019</v>
      </c>
      <c r="AH63" s="295">
        <f t="shared" si="40"/>
        <v>0.50753825136612019</v>
      </c>
      <c r="AI63" s="295">
        <f t="shared" si="40"/>
        <v>0.50753825136612019</v>
      </c>
      <c r="AJ63" s="295">
        <f t="shared" si="40"/>
        <v>0.50753825136612019</v>
      </c>
      <c r="AK63" s="295">
        <f t="shared" si="40"/>
        <v>0.50753825136612019</v>
      </c>
      <c r="AL63" s="295">
        <f t="shared" si="40"/>
        <v>0.50753825136612019</v>
      </c>
      <c r="AM63" s="295">
        <f t="shared" si="40"/>
        <v>0.50753825136612019</v>
      </c>
      <c r="AN63" s="295">
        <f t="shared" si="40"/>
        <v>0.50753825136612019</v>
      </c>
      <c r="AO63" s="295">
        <f t="shared" si="40"/>
        <v>0.50753825136612019</v>
      </c>
      <c r="AP63" s="295">
        <f t="shared" si="40"/>
        <v>0.50753825136612019</v>
      </c>
      <c r="AQ63" s="364">
        <f t="shared" si="40"/>
        <v>0.50753825136612019</v>
      </c>
    </row>
    <row r="64" spans="2:43" x14ac:dyDescent="0.25">
      <c r="B64" s="349" t="s">
        <v>9</v>
      </c>
      <c r="C64" s="316">
        <f>ROUND('Annex 2. Prices 2024'!F127,2)</f>
        <v>40.549999999999997</v>
      </c>
      <c r="D64" s="304">
        <f>+$C$64*D56</f>
        <v>18.903944672131146</v>
      </c>
      <c r="E64" s="295">
        <f t="shared" ref="E64:AQ64" si="41">+$C$64*E56</f>
        <v>8.8218408469945349</v>
      </c>
      <c r="F64" s="295">
        <f t="shared" si="41"/>
        <v>6.2431489071038255</v>
      </c>
      <c r="G64" s="299">
        <f t="shared" si="41"/>
        <v>16.690867486338799</v>
      </c>
      <c r="H64" s="304">
        <f t="shared" si="41"/>
        <v>8.912690573770492</v>
      </c>
      <c r="I64" s="295">
        <f t="shared" si="41"/>
        <v>6.5544754098360656</v>
      </c>
      <c r="J64" s="295">
        <f t="shared" si="41"/>
        <v>7.1610635245901628</v>
      </c>
      <c r="K64" s="295">
        <f t="shared" si="41"/>
        <v>4.4372336065573768</v>
      </c>
      <c r="L64" s="295">
        <f t="shared" si="41"/>
        <v>3.6062909836065566</v>
      </c>
      <c r="M64" s="295">
        <f t="shared" si="41"/>
        <v>2.6423975409836067</v>
      </c>
      <c r="N64" s="295">
        <f t="shared" si="41"/>
        <v>2.2152930327868852</v>
      </c>
      <c r="O64" s="295">
        <f t="shared" si="41"/>
        <v>2.4728852459016393</v>
      </c>
      <c r="P64" s="295">
        <f t="shared" si="41"/>
        <v>2.7919672131147539</v>
      </c>
      <c r="Q64" s="295">
        <f t="shared" si="41"/>
        <v>5.0488073770491795</v>
      </c>
      <c r="R64" s="295">
        <f t="shared" si="41"/>
        <v>6.381639344262295</v>
      </c>
      <c r="S64" s="299">
        <f t="shared" si="41"/>
        <v>8.5520614754098343</v>
      </c>
      <c r="T64" s="304">
        <f t="shared" si="41"/>
        <v>0.57501229508196716</v>
      </c>
      <c r="U64" s="295">
        <f t="shared" si="41"/>
        <v>0.4520327868852459</v>
      </c>
      <c r="V64" s="295">
        <f t="shared" si="41"/>
        <v>0.4620040983606557</v>
      </c>
      <c r="W64" s="295">
        <f t="shared" si="41"/>
        <v>0.29581557377049178</v>
      </c>
      <c r="X64" s="295">
        <f t="shared" si="41"/>
        <v>0.23266393442622949</v>
      </c>
      <c r="Y64" s="295">
        <f t="shared" si="41"/>
        <v>0.17615983606557375</v>
      </c>
      <c r="Z64" s="295">
        <f t="shared" si="41"/>
        <v>0.14292213114754099</v>
      </c>
      <c r="AA64" s="295">
        <f t="shared" si="41"/>
        <v>0.15954098360655736</v>
      </c>
      <c r="AB64" s="295">
        <f t="shared" si="41"/>
        <v>0.18613114754098362</v>
      </c>
      <c r="AC64" s="295">
        <f t="shared" si="41"/>
        <v>0.32572950819672131</v>
      </c>
      <c r="AD64" s="295">
        <f t="shared" si="41"/>
        <v>0.42544262295081964</v>
      </c>
      <c r="AE64" s="299">
        <f t="shared" si="41"/>
        <v>0.55174590163934423</v>
      </c>
      <c r="AF64" s="302">
        <f t="shared" si="41"/>
        <v>0.57501229508196716</v>
      </c>
      <c r="AG64" s="295">
        <f t="shared" si="41"/>
        <v>0.4520327868852459</v>
      </c>
      <c r="AH64" s="295">
        <f t="shared" si="41"/>
        <v>0.4620040983606557</v>
      </c>
      <c r="AI64" s="295">
        <f t="shared" si="41"/>
        <v>0.29581557377049178</v>
      </c>
      <c r="AJ64" s="295">
        <f t="shared" si="41"/>
        <v>0.23266393442622949</v>
      </c>
      <c r="AK64" s="295">
        <f t="shared" si="41"/>
        <v>0.17615983606557375</v>
      </c>
      <c r="AL64" s="295">
        <f t="shared" si="41"/>
        <v>0.14292213114754099</v>
      </c>
      <c r="AM64" s="295">
        <f t="shared" si="41"/>
        <v>0.15954098360655736</v>
      </c>
      <c r="AN64" s="295">
        <f t="shared" si="41"/>
        <v>0.18613114754098362</v>
      </c>
      <c r="AO64" s="295">
        <f t="shared" si="41"/>
        <v>0.32572950819672131</v>
      </c>
      <c r="AP64" s="295">
        <f t="shared" si="41"/>
        <v>0.42544262295081964</v>
      </c>
      <c r="AQ64" s="364">
        <f t="shared" si="41"/>
        <v>0.55174590163934423</v>
      </c>
    </row>
    <row r="65" spans="2:43" x14ac:dyDescent="0.25">
      <c r="B65" s="349" t="s">
        <v>84</v>
      </c>
      <c r="C65" s="316">
        <f>ROUND('Annex 2. Prices 2024'!F128,2)</f>
        <v>109.27</v>
      </c>
      <c r="D65" s="304">
        <f>+$C$65*D55</f>
        <v>29.885046448087429</v>
      </c>
      <c r="E65" s="295">
        <f t="shared" ref="E65:AQ65" si="42">+$C$65*E55</f>
        <v>29.885046448087429</v>
      </c>
      <c r="F65" s="295">
        <f t="shared" si="42"/>
        <v>30.213453551912572</v>
      </c>
      <c r="G65" s="299">
        <f t="shared" si="42"/>
        <v>30.213453551912572</v>
      </c>
      <c r="H65" s="304">
        <f t="shared" si="42"/>
        <v>11.568886612021856</v>
      </c>
      <c r="I65" s="295">
        <f t="shared" si="42"/>
        <v>10.822506830601093</v>
      </c>
      <c r="J65" s="295">
        <f t="shared" si="42"/>
        <v>11.568886612021856</v>
      </c>
      <c r="K65" s="295">
        <f t="shared" si="42"/>
        <v>11.195696721311474</v>
      </c>
      <c r="L65" s="295">
        <f t="shared" si="42"/>
        <v>11.568886612021856</v>
      </c>
      <c r="M65" s="295">
        <f t="shared" si="42"/>
        <v>11.195696721311474</v>
      </c>
      <c r="N65" s="295">
        <f t="shared" si="42"/>
        <v>11.568886612021856</v>
      </c>
      <c r="O65" s="295">
        <f t="shared" si="42"/>
        <v>11.568886612021856</v>
      </c>
      <c r="P65" s="295">
        <f t="shared" si="42"/>
        <v>11.195696721311474</v>
      </c>
      <c r="Q65" s="295">
        <f t="shared" si="42"/>
        <v>11.568886612021856</v>
      </c>
      <c r="R65" s="295">
        <f t="shared" si="42"/>
        <v>11.195696721311474</v>
      </c>
      <c r="S65" s="299">
        <f t="shared" si="42"/>
        <v>11.568886612021856</v>
      </c>
      <c r="T65" s="304">
        <f t="shared" si="42"/>
        <v>0.44782786885245901</v>
      </c>
      <c r="U65" s="295">
        <f t="shared" si="42"/>
        <v>0.44782786885245901</v>
      </c>
      <c r="V65" s="295">
        <f t="shared" si="42"/>
        <v>0.44782786885245901</v>
      </c>
      <c r="W65" s="295">
        <f t="shared" si="42"/>
        <v>0.44782786885245901</v>
      </c>
      <c r="X65" s="295">
        <f t="shared" si="42"/>
        <v>0.44782786885245901</v>
      </c>
      <c r="Y65" s="295">
        <f t="shared" si="42"/>
        <v>0.44782786885245901</v>
      </c>
      <c r="Z65" s="295">
        <f t="shared" si="42"/>
        <v>0.44782786885245901</v>
      </c>
      <c r="AA65" s="295">
        <f t="shared" si="42"/>
        <v>0.44782786885245901</v>
      </c>
      <c r="AB65" s="295">
        <f t="shared" si="42"/>
        <v>0.44782786885245901</v>
      </c>
      <c r="AC65" s="295">
        <f t="shared" si="42"/>
        <v>0.44782786885245901</v>
      </c>
      <c r="AD65" s="295">
        <f t="shared" si="42"/>
        <v>0.44782786885245901</v>
      </c>
      <c r="AE65" s="299">
        <f t="shared" si="42"/>
        <v>0.44782786885245901</v>
      </c>
      <c r="AF65" s="302">
        <f t="shared" si="42"/>
        <v>0.50753825136612019</v>
      </c>
      <c r="AG65" s="295">
        <f t="shared" si="42"/>
        <v>0.50753825136612019</v>
      </c>
      <c r="AH65" s="295">
        <f t="shared" si="42"/>
        <v>0.50753825136612019</v>
      </c>
      <c r="AI65" s="295">
        <f t="shared" si="42"/>
        <v>0.50753825136612019</v>
      </c>
      <c r="AJ65" s="295">
        <f t="shared" si="42"/>
        <v>0.50753825136612019</v>
      </c>
      <c r="AK65" s="295">
        <f t="shared" si="42"/>
        <v>0.50753825136612019</v>
      </c>
      <c r="AL65" s="295">
        <f t="shared" si="42"/>
        <v>0.50753825136612019</v>
      </c>
      <c r="AM65" s="295">
        <f t="shared" si="42"/>
        <v>0.50753825136612019</v>
      </c>
      <c r="AN65" s="295">
        <f t="shared" si="42"/>
        <v>0.50753825136612019</v>
      </c>
      <c r="AO65" s="295">
        <f t="shared" si="42"/>
        <v>0.50753825136612019</v>
      </c>
      <c r="AP65" s="295">
        <f t="shared" si="42"/>
        <v>0.50753825136612019</v>
      </c>
      <c r="AQ65" s="364">
        <f t="shared" si="42"/>
        <v>0.50753825136612019</v>
      </c>
    </row>
    <row r="66" spans="2:43" x14ac:dyDescent="0.25">
      <c r="B66" s="349" t="s">
        <v>309</v>
      </c>
      <c r="C66" s="316">
        <f>ROUND('Annex 2. Prices 2024'!F132,2)</f>
        <v>107.93</v>
      </c>
      <c r="D66" s="304">
        <f>+$C$66*D57</f>
        <v>50.315727459016394</v>
      </c>
      <c r="E66" s="295">
        <f t="shared" ref="E66:AQ66" si="43">+$C$66*E57</f>
        <v>23.480672814207651</v>
      </c>
      <c r="F66" s="295">
        <f t="shared" si="43"/>
        <v>16.617091530054648</v>
      </c>
      <c r="G66" s="299">
        <f t="shared" si="43"/>
        <v>44.425285519125694</v>
      </c>
      <c r="H66" s="304">
        <f t="shared" si="43"/>
        <v>23.722483196721313</v>
      </c>
      <c r="I66" s="295">
        <f t="shared" si="43"/>
        <v>17.44573442622951</v>
      </c>
      <c r="J66" s="295">
        <f t="shared" si="43"/>
        <v>19.060261065573769</v>
      </c>
      <c r="K66" s="295">
        <f t="shared" si="43"/>
        <v>11.810372950819673</v>
      </c>
      <c r="L66" s="295">
        <f t="shared" si="43"/>
        <v>9.5986926229508196</v>
      </c>
      <c r="M66" s="295">
        <f t="shared" si="43"/>
        <v>7.0331434426229524</v>
      </c>
      <c r="N66" s="295">
        <f t="shared" si="43"/>
        <v>5.8963397540983618</v>
      </c>
      <c r="O66" s="295">
        <f t="shared" si="43"/>
        <v>6.5819606557377055</v>
      </c>
      <c r="P66" s="295">
        <f t="shared" si="43"/>
        <v>7.4312459016393451</v>
      </c>
      <c r="Q66" s="295">
        <f t="shared" si="43"/>
        <v>13.438169672131147</v>
      </c>
      <c r="R66" s="295">
        <f t="shared" si="43"/>
        <v>16.985704918032788</v>
      </c>
      <c r="S66" s="299">
        <f t="shared" si="43"/>
        <v>22.762613934426231</v>
      </c>
      <c r="T66" s="304">
        <f t="shared" si="43"/>
        <v>1.5304827868852462</v>
      </c>
      <c r="U66" s="295">
        <f t="shared" si="43"/>
        <v>1.2031540983606559</v>
      </c>
      <c r="V66" s="295">
        <f t="shared" si="43"/>
        <v>1.2296942622950819</v>
      </c>
      <c r="W66" s="295">
        <f t="shared" si="43"/>
        <v>0.78735819672131158</v>
      </c>
      <c r="X66" s="295">
        <f t="shared" si="43"/>
        <v>0.61927049180327876</v>
      </c>
      <c r="Y66" s="295">
        <f t="shared" si="43"/>
        <v>0.46887622950819674</v>
      </c>
      <c r="Z66" s="295">
        <f t="shared" si="43"/>
        <v>0.38040901639344266</v>
      </c>
      <c r="AA66" s="295">
        <f t="shared" si="43"/>
        <v>0.42464262295081973</v>
      </c>
      <c r="AB66" s="295">
        <f t="shared" si="43"/>
        <v>0.49541639344262306</v>
      </c>
      <c r="AC66" s="295">
        <f t="shared" si="43"/>
        <v>0.86697868852459037</v>
      </c>
      <c r="AD66" s="295">
        <f t="shared" si="43"/>
        <v>1.1323803278688525</v>
      </c>
      <c r="AE66" s="299">
        <f t="shared" si="43"/>
        <v>1.4685557377049181</v>
      </c>
      <c r="AF66" s="302">
        <f t="shared" si="43"/>
        <v>1.5304827868852462</v>
      </c>
      <c r="AG66" s="295">
        <f t="shared" si="43"/>
        <v>1.2031540983606559</v>
      </c>
      <c r="AH66" s="295">
        <f t="shared" si="43"/>
        <v>1.2296942622950819</v>
      </c>
      <c r="AI66" s="295">
        <f t="shared" si="43"/>
        <v>0.78735819672131158</v>
      </c>
      <c r="AJ66" s="295">
        <f t="shared" si="43"/>
        <v>0.61927049180327876</v>
      </c>
      <c r="AK66" s="295">
        <f t="shared" si="43"/>
        <v>0.46887622950819674</v>
      </c>
      <c r="AL66" s="295">
        <f t="shared" si="43"/>
        <v>0.38040901639344266</v>
      </c>
      <c r="AM66" s="295">
        <f t="shared" si="43"/>
        <v>0.42464262295081973</v>
      </c>
      <c r="AN66" s="295">
        <f t="shared" si="43"/>
        <v>0.49541639344262306</v>
      </c>
      <c r="AO66" s="295">
        <f t="shared" si="43"/>
        <v>0.86697868852459037</v>
      </c>
      <c r="AP66" s="295">
        <f t="shared" si="43"/>
        <v>1.1323803278688525</v>
      </c>
      <c r="AQ66" s="364">
        <f t="shared" si="43"/>
        <v>1.4685557377049181</v>
      </c>
    </row>
    <row r="67" spans="2:43" ht="15.75" thickBot="1" x14ac:dyDescent="0.3">
      <c r="B67" s="351" t="s">
        <v>310</v>
      </c>
      <c r="C67" s="366">
        <f>ROUND('Annex 2. Prices 2024'!F133,2)</f>
        <v>70.28</v>
      </c>
      <c r="D67" s="367">
        <f>+$C$67*D57</f>
        <v>32.763729508196718</v>
      </c>
      <c r="E67" s="368">
        <f t="shared" ref="E67:AQ67" si="44">+$C$67*E57</f>
        <v>15.289740437158468</v>
      </c>
      <c r="F67" s="368">
        <f t="shared" si="44"/>
        <v>10.820431693989072</v>
      </c>
      <c r="G67" s="369">
        <f t="shared" si="44"/>
        <v>28.928092896174867</v>
      </c>
      <c r="H67" s="367">
        <f t="shared" si="44"/>
        <v>15.447198360655738</v>
      </c>
      <c r="I67" s="368">
        <f t="shared" si="44"/>
        <v>11.3600131147541</v>
      </c>
      <c r="J67" s="368">
        <f t="shared" si="44"/>
        <v>12.411332786885245</v>
      </c>
      <c r="K67" s="368">
        <f t="shared" si="44"/>
        <v>7.6904754098360657</v>
      </c>
      <c r="L67" s="368">
        <f t="shared" si="44"/>
        <v>6.2503114754098359</v>
      </c>
      <c r="M67" s="368">
        <f t="shared" si="44"/>
        <v>4.5797213114754109</v>
      </c>
      <c r="N67" s="368">
        <f t="shared" si="44"/>
        <v>3.8394770491803283</v>
      </c>
      <c r="O67" s="368">
        <f t="shared" si="44"/>
        <v>4.2859278688524594</v>
      </c>
      <c r="P67" s="368">
        <f t="shared" si="44"/>
        <v>4.8389508196721316</v>
      </c>
      <c r="Q67" s="368">
        <f t="shared" si="44"/>
        <v>8.750436065573771</v>
      </c>
      <c r="R67" s="368">
        <f t="shared" si="44"/>
        <v>11.060459016393445</v>
      </c>
      <c r="S67" s="369">
        <f t="shared" si="44"/>
        <v>14.822167213114755</v>
      </c>
      <c r="T67" s="367">
        <f t="shared" si="44"/>
        <v>0.99659344262295091</v>
      </c>
      <c r="U67" s="368">
        <f t="shared" si="44"/>
        <v>0.78344918032786892</v>
      </c>
      <c r="V67" s="368">
        <f t="shared" si="44"/>
        <v>0.80073114754098362</v>
      </c>
      <c r="W67" s="368">
        <f t="shared" si="44"/>
        <v>0.51269836065573771</v>
      </c>
      <c r="X67" s="368">
        <f t="shared" si="44"/>
        <v>0.40324590163934426</v>
      </c>
      <c r="Y67" s="368">
        <f t="shared" si="44"/>
        <v>0.30531475409836067</v>
      </c>
      <c r="Z67" s="368">
        <f t="shared" si="44"/>
        <v>0.2477081967213115</v>
      </c>
      <c r="AA67" s="368">
        <f t="shared" si="44"/>
        <v>0.27651147540983606</v>
      </c>
      <c r="AB67" s="368">
        <f>+$C$67*AB57</f>
        <v>0.32259672131147549</v>
      </c>
      <c r="AC67" s="368">
        <f t="shared" si="44"/>
        <v>0.56454426229508203</v>
      </c>
      <c r="AD67" s="368">
        <f t="shared" si="44"/>
        <v>0.73736393442622949</v>
      </c>
      <c r="AE67" s="369">
        <f t="shared" si="44"/>
        <v>0.95626885245901638</v>
      </c>
      <c r="AF67" s="370">
        <f t="shared" si="44"/>
        <v>0.99659344262295091</v>
      </c>
      <c r="AG67" s="368">
        <f t="shared" si="44"/>
        <v>0.78344918032786892</v>
      </c>
      <c r="AH67" s="368">
        <f t="shared" si="44"/>
        <v>0.80073114754098362</v>
      </c>
      <c r="AI67" s="368">
        <f t="shared" si="44"/>
        <v>0.51269836065573771</v>
      </c>
      <c r="AJ67" s="368">
        <f t="shared" si="44"/>
        <v>0.40324590163934426</v>
      </c>
      <c r="AK67" s="368">
        <f t="shared" si="44"/>
        <v>0.30531475409836067</v>
      </c>
      <c r="AL67" s="368">
        <f t="shared" si="44"/>
        <v>0.2477081967213115</v>
      </c>
      <c r="AM67" s="368">
        <f t="shared" si="44"/>
        <v>0.27651147540983606</v>
      </c>
      <c r="AN67" s="368">
        <f t="shared" si="44"/>
        <v>0.32259672131147549</v>
      </c>
      <c r="AO67" s="368">
        <f t="shared" si="44"/>
        <v>0.56454426229508203</v>
      </c>
      <c r="AP67" s="368">
        <f t="shared" si="44"/>
        <v>0.73736393442622949</v>
      </c>
      <c r="AQ67" s="371">
        <f t="shared" si="44"/>
        <v>0.95626885245901638</v>
      </c>
    </row>
    <row r="68" spans="2:43" ht="15.75" thickBot="1" x14ac:dyDescent="0.3"/>
    <row r="69" spans="2:43" ht="15.75" x14ac:dyDescent="0.25">
      <c r="B69" s="604" t="s">
        <v>150</v>
      </c>
      <c r="C69" s="605"/>
      <c r="D69" s="605"/>
      <c r="E69" s="605"/>
      <c r="F69" s="605"/>
      <c r="G69" s="605"/>
      <c r="H69" s="605"/>
      <c r="I69" s="605"/>
      <c r="J69" s="605"/>
      <c r="K69" s="605"/>
      <c r="L69" s="605"/>
      <c r="M69" s="605"/>
      <c r="N69" s="605"/>
      <c r="O69" s="605"/>
      <c r="P69" s="605"/>
      <c r="Q69" s="605"/>
      <c r="R69" s="605"/>
      <c r="S69" s="605"/>
      <c r="T69" s="605"/>
      <c r="U69" s="605"/>
      <c r="V69" s="605"/>
      <c r="W69" s="605"/>
      <c r="X69" s="605"/>
      <c r="Y69" s="605"/>
      <c r="Z69" s="605"/>
      <c r="AA69" s="605"/>
      <c r="AB69" s="605"/>
      <c r="AC69" s="605"/>
      <c r="AD69" s="605"/>
      <c r="AE69" s="605"/>
      <c r="AF69" s="605"/>
      <c r="AG69" s="605"/>
      <c r="AH69" s="605"/>
      <c r="AI69" s="605"/>
      <c r="AJ69" s="605"/>
      <c r="AK69" s="605"/>
      <c r="AL69" s="605"/>
      <c r="AM69" s="605"/>
      <c r="AN69" s="605"/>
      <c r="AO69" s="605"/>
      <c r="AP69" s="605"/>
      <c r="AQ69" s="606"/>
    </row>
    <row r="70" spans="2:43" ht="14.45" customHeight="1" x14ac:dyDescent="0.25">
      <c r="B70" s="349"/>
      <c r="C70" s="607" t="s">
        <v>64</v>
      </c>
      <c r="D70" s="609" t="s">
        <v>298</v>
      </c>
      <c r="E70" s="610"/>
      <c r="F70" s="610"/>
      <c r="G70" s="611"/>
      <c r="H70" s="609" t="s">
        <v>299</v>
      </c>
      <c r="I70" s="610"/>
      <c r="J70" s="610"/>
      <c r="K70" s="610"/>
      <c r="L70" s="610"/>
      <c r="M70" s="610"/>
      <c r="N70" s="610"/>
      <c r="O70" s="610"/>
      <c r="P70" s="610"/>
      <c r="Q70" s="610"/>
      <c r="R70" s="610"/>
      <c r="S70" s="611"/>
      <c r="T70" s="609" t="s">
        <v>300</v>
      </c>
      <c r="U70" s="610"/>
      <c r="V70" s="610"/>
      <c r="W70" s="610"/>
      <c r="X70" s="610"/>
      <c r="Y70" s="610"/>
      <c r="Z70" s="610"/>
      <c r="AA70" s="610"/>
      <c r="AB70" s="610"/>
      <c r="AC70" s="610"/>
      <c r="AD70" s="610"/>
      <c r="AE70" s="611"/>
      <c r="AF70" s="609" t="s">
        <v>301</v>
      </c>
      <c r="AG70" s="610"/>
      <c r="AH70" s="610"/>
      <c r="AI70" s="610"/>
      <c r="AJ70" s="610"/>
      <c r="AK70" s="610"/>
      <c r="AL70" s="610"/>
      <c r="AM70" s="610"/>
      <c r="AN70" s="610"/>
      <c r="AO70" s="610"/>
      <c r="AP70" s="610"/>
      <c r="AQ70" s="611"/>
    </row>
    <row r="71" spans="2:43" x14ac:dyDescent="0.25">
      <c r="B71" s="347"/>
      <c r="C71" s="608"/>
      <c r="D71" s="323" t="s">
        <v>265</v>
      </c>
      <c r="E71" s="339" t="s">
        <v>266</v>
      </c>
      <c r="F71" s="339" t="s">
        <v>267</v>
      </c>
      <c r="G71" s="338" t="s">
        <v>268</v>
      </c>
      <c r="H71" s="323" t="s">
        <v>231</v>
      </c>
      <c r="I71" s="339" t="s">
        <v>232</v>
      </c>
      <c r="J71" s="339" t="s">
        <v>233</v>
      </c>
      <c r="K71" s="339" t="s">
        <v>234</v>
      </c>
      <c r="L71" s="339" t="s">
        <v>200</v>
      </c>
      <c r="M71" s="339" t="s">
        <v>235</v>
      </c>
      <c r="N71" s="339" t="s">
        <v>236</v>
      </c>
      <c r="O71" s="339" t="s">
        <v>237</v>
      </c>
      <c r="P71" s="339" t="s">
        <v>238</v>
      </c>
      <c r="Q71" s="339" t="s">
        <v>239</v>
      </c>
      <c r="R71" s="339" t="s">
        <v>240</v>
      </c>
      <c r="S71" s="338" t="s">
        <v>241</v>
      </c>
      <c r="T71" s="323" t="s">
        <v>231</v>
      </c>
      <c r="U71" s="339" t="s">
        <v>232</v>
      </c>
      <c r="V71" s="339" t="s">
        <v>233</v>
      </c>
      <c r="W71" s="339" t="s">
        <v>234</v>
      </c>
      <c r="X71" s="339" t="s">
        <v>200</v>
      </c>
      <c r="Y71" s="339" t="s">
        <v>235</v>
      </c>
      <c r="Z71" s="339" t="s">
        <v>236</v>
      </c>
      <c r="AA71" s="339" t="s">
        <v>237</v>
      </c>
      <c r="AB71" s="339" t="s">
        <v>238</v>
      </c>
      <c r="AC71" s="339" t="s">
        <v>239</v>
      </c>
      <c r="AD71" s="339" t="s">
        <v>240</v>
      </c>
      <c r="AE71" s="338" t="s">
        <v>241</v>
      </c>
      <c r="AF71" s="324" t="s">
        <v>231</v>
      </c>
      <c r="AG71" s="339" t="s">
        <v>232</v>
      </c>
      <c r="AH71" s="339" t="s">
        <v>233</v>
      </c>
      <c r="AI71" s="339" t="s">
        <v>234</v>
      </c>
      <c r="AJ71" s="339" t="s">
        <v>200</v>
      </c>
      <c r="AK71" s="339" t="s">
        <v>235</v>
      </c>
      <c r="AL71" s="339" t="s">
        <v>236</v>
      </c>
      <c r="AM71" s="339" t="s">
        <v>237</v>
      </c>
      <c r="AN71" s="339" t="s">
        <v>238</v>
      </c>
      <c r="AO71" s="339" t="s">
        <v>239</v>
      </c>
      <c r="AP71" s="339" t="s">
        <v>240</v>
      </c>
      <c r="AQ71" s="338" t="s">
        <v>241</v>
      </c>
    </row>
    <row r="72" spans="2:43" x14ac:dyDescent="0.25">
      <c r="B72" s="349" t="s">
        <v>82</v>
      </c>
      <c r="C72" s="300">
        <f>ROUND(C58,2)/ROUND(C41,2)-1</f>
        <v>0</v>
      </c>
      <c r="D72" s="305">
        <f>ROUND(D58,2)/ROUND(D41,2)-1</f>
        <v>8.5227272727272929E-3</v>
      </c>
      <c r="E72" s="297">
        <f t="shared" ref="E72:AQ72" si="45">ROUND(E58,2)/ROUND(E41,2)-1</f>
        <v>-2.5542784163473664E-3</v>
      </c>
      <c r="F72" s="297">
        <f t="shared" si="45"/>
        <v>-2.5265285497726442E-3</v>
      </c>
      <c r="G72" s="300">
        <f t="shared" si="45"/>
        <v>-2.5265285497726442E-3</v>
      </c>
      <c r="H72" s="305">
        <f t="shared" si="45"/>
        <v>-2.6385224274406704E-3</v>
      </c>
      <c r="I72" s="297">
        <f t="shared" si="45"/>
        <v>3.2870708546384408E-2</v>
      </c>
      <c r="J72" s="297">
        <f t="shared" si="45"/>
        <v>-2.6385224274406704E-3</v>
      </c>
      <c r="K72" s="297">
        <f t="shared" si="45"/>
        <v>-2.7266530334014716E-3</v>
      </c>
      <c r="L72" s="297">
        <f t="shared" si="45"/>
        <v>-2.6385224274406704E-3</v>
      </c>
      <c r="M72" s="297">
        <f t="shared" si="45"/>
        <v>-2.7266530334014716E-3</v>
      </c>
      <c r="N72" s="297">
        <f t="shared" si="45"/>
        <v>-2.6385224274406704E-3</v>
      </c>
      <c r="O72" s="297">
        <f t="shared" si="45"/>
        <v>-2.6385224274406704E-3</v>
      </c>
      <c r="P72" s="297">
        <f t="shared" si="45"/>
        <v>-2.7266530334014716E-3</v>
      </c>
      <c r="Q72" s="297">
        <f t="shared" si="45"/>
        <v>-2.6385224274406704E-3</v>
      </c>
      <c r="R72" s="297">
        <f t="shared" si="45"/>
        <v>-2.7266530334014716E-3</v>
      </c>
      <c r="S72" s="300">
        <f t="shared" si="45"/>
        <v>-2.6385224274406704E-3</v>
      </c>
      <c r="T72" s="305">
        <f t="shared" si="45"/>
        <v>0</v>
      </c>
      <c r="U72" s="297">
        <f t="shared" si="45"/>
        <v>0</v>
      </c>
      <c r="V72" s="297">
        <f t="shared" si="45"/>
        <v>0</v>
      </c>
      <c r="W72" s="297">
        <f t="shared" si="45"/>
        <v>0</v>
      </c>
      <c r="X72" s="297">
        <f t="shared" si="45"/>
        <v>0</v>
      </c>
      <c r="Y72" s="297">
        <f t="shared" si="45"/>
        <v>0</v>
      </c>
      <c r="Z72" s="297">
        <f t="shared" si="45"/>
        <v>0</v>
      </c>
      <c r="AA72" s="297">
        <f t="shared" si="45"/>
        <v>0</v>
      </c>
      <c r="AB72" s="297">
        <f t="shared" si="45"/>
        <v>0</v>
      </c>
      <c r="AC72" s="297">
        <f t="shared" si="45"/>
        <v>0</v>
      </c>
      <c r="AD72" s="297">
        <f t="shared" si="45"/>
        <v>0</v>
      </c>
      <c r="AE72" s="300">
        <f t="shared" si="45"/>
        <v>0</v>
      </c>
      <c r="AF72" s="305">
        <f t="shared" si="45"/>
        <v>0.1186440677966103</v>
      </c>
      <c r="AG72" s="297">
        <f t="shared" si="45"/>
        <v>0.1186440677966103</v>
      </c>
      <c r="AH72" s="297">
        <f t="shared" si="45"/>
        <v>0.1186440677966103</v>
      </c>
      <c r="AI72" s="297">
        <f t="shared" si="45"/>
        <v>0.1186440677966103</v>
      </c>
      <c r="AJ72" s="297">
        <f t="shared" si="45"/>
        <v>0.1186440677966103</v>
      </c>
      <c r="AK72" s="297">
        <f t="shared" si="45"/>
        <v>0.1186440677966103</v>
      </c>
      <c r="AL72" s="297">
        <f t="shared" si="45"/>
        <v>0.1186440677966103</v>
      </c>
      <c r="AM72" s="297">
        <f t="shared" si="45"/>
        <v>0.1186440677966103</v>
      </c>
      <c r="AN72" s="297">
        <f t="shared" si="45"/>
        <v>0.1186440677966103</v>
      </c>
      <c r="AO72" s="297">
        <f t="shared" si="45"/>
        <v>0.1186440677966103</v>
      </c>
      <c r="AP72" s="297">
        <f t="shared" si="45"/>
        <v>0.1186440677966103</v>
      </c>
      <c r="AQ72" s="350">
        <f t="shared" si="45"/>
        <v>0.1186440677966103</v>
      </c>
    </row>
    <row r="73" spans="2:43" x14ac:dyDescent="0.25">
      <c r="B73" s="349" t="s">
        <v>13</v>
      </c>
      <c r="C73" s="300">
        <f t="shared" ref="C73:R79" si="46">ROUND(C59,2)/ROUND(C42,2)-1</f>
        <v>0</v>
      </c>
      <c r="D73" s="305">
        <f t="shared" si="46"/>
        <v>8.2051282051283092E-3</v>
      </c>
      <c r="E73" s="297">
        <f t="shared" si="46"/>
        <v>-3.0425963488842633E-3</v>
      </c>
      <c r="F73" s="297">
        <f t="shared" si="46"/>
        <v>-3.0090270812438424E-3</v>
      </c>
      <c r="G73" s="300">
        <f t="shared" si="46"/>
        <v>-3.0090270812438424E-3</v>
      </c>
      <c r="H73" s="305">
        <f t="shared" si="46"/>
        <v>-2.6178010471203939E-3</v>
      </c>
      <c r="I73" s="297">
        <f t="shared" si="46"/>
        <v>3.1884057971014457E-2</v>
      </c>
      <c r="J73" s="297">
        <f t="shared" si="46"/>
        <v>-2.6178010471203939E-3</v>
      </c>
      <c r="K73" s="297">
        <f t="shared" si="46"/>
        <v>-2.7100271002709064E-3</v>
      </c>
      <c r="L73" s="297">
        <f t="shared" si="46"/>
        <v>-2.6178010471203939E-3</v>
      </c>
      <c r="M73" s="297">
        <f t="shared" si="46"/>
        <v>-2.7100271002709064E-3</v>
      </c>
      <c r="N73" s="297">
        <f t="shared" si="46"/>
        <v>-2.6178010471203939E-3</v>
      </c>
      <c r="O73" s="297">
        <f t="shared" si="46"/>
        <v>-2.6178010471203939E-3</v>
      </c>
      <c r="P73" s="297">
        <f t="shared" si="46"/>
        <v>-2.7100271002709064E-3</v>
      </c>
      <c r="Q73" s="297">
        <f t="shared" si="46"/>
        <v>-2.6178010471203939E-3</v>
      </c>
      <c r="R73" s="297">
        <f t="shared" si="46"/>
        <v>-2.7100271002709064E-3</v>
      </c>
      <c r="S73" s="300">
        <f t="shared" ref="S73:AQ73" si="47">ROUND(S59,2)/ROUND(S42,2)-1</f>
        <v>-2.6178010471203939E-3</v>
      </c>
      <c r="T73" s="305">
        <f t="shared" si="47"/>
        <v>0</v>
      </c>
      <c r="U73" s="297">
        <f t="shared" si="47"/>
        <v>0</v>
      </c>
      <c r="V73" s="297">
        <f t="shared" si="47"/>
        <v>0</v>
      </c>
      <c r="W73" s="297">
        <f t="shared" si="47"/>
        <v>0</v>
      </c>
      <c r="X73" s="297">
        <f t="shared" si="47"/>
        <v>0</v>
      </c>
      <c r="Y73" s="297">
        <f t="shared" si="47"/>
        <v>0</v>
      </c>
      <c r="Z73" s="297">
        <f t="shared" si="47"/>
        <v>0</v>
      </c>
      <c r="AA73" s="297">
        <f t="shared" si="47"/>
        <v>0</v>
      </c>
      <c r="AB73" s="297">
        <f t="shared" si="47"/>
        <v>0</v>
      </c>
      <c r="AC73" s="297">
        <f t="shared" si="47"/>
        <v>0</v>
      </c>
      <c r="AD73" s="297">
        <f t="shared" si="47"/>
        <v>0</v>
      </c>
      <c r="AE73" s="300">
        <f t="shared" si="47"/>
        <v>0</v>
      </c>
      <c r="AF73" s="305">
        <f t="shared" si="47"/>
        <v>0.13333333333333353</v>
      </c>
      <c r="AG73" s="297">
        <f t="shared" si="47"/>
        <v>0.13333333333333353</v>
      </c>
      <c r="AH73" s="297">
        <f t="shared" si="47"/>
        <v>0.13333333333333353</v>
      </c>
      <c r="AI73" s="297">
        <f t="shared" si="47"/>
        <v>0.13333333333333353</v>
      </c>
      <c r="AJ73" s="297">
        <f t="shared" si="47"/>
        <v>0.13333333333333353</v>
      </c>
      <c r="AK73" s="297">
        <f t="shared" si="47"/>
        <v>0.13333333333333353</v>
      </c>
      <c r="AL73" s="297">
        <f t="shared" si="47"/>
        <v>0.13333333333333353</v>
      </c>
      <c r="AM73" s="297">
        <f t="shared" si="47"/>
        <v>0.13333333333333353</v>
      </c>
      <c r="AN73" s="297">
        <f t="shared" si="47"/>
        <v>0.13333333333333353</v>
      </c>
      <c r="AO73" s="297">
        <f t="shared" si="47"/>
        <v>0.13333333333333353</v>
      </c>
      <c r="AP73" s="297">
        <f t="shared" si="47"/>
        <v>0.13333333333333353</v>
      </c>
      <c r="AQ73" s="350">
        <f t="shared" si="47"/>
        <v>0.13333333333333353</v>
      </c>
    </row>
    <row r="74" spans="2:43" x14ac:dyDescent="0.25">
      <c r="B74" s="349" t="s">
        <v>6</v>
      </c>
      <c r="C74" s="300">
        <f t="shared" si="46"/>
        <v>0</v>
      </c>
      <c r="D74" s="305">
        <f t="shared" si="46"/>
        <v>8.5227272727272929E-3</v>
      </c>
      <c r="E74" s="297">
        <f t="shared" si="46"/>
        <v>-2.5542784163473664E-3</v>
      </c>
      <c r="F74" s="297">
        <f t="shared" si="46"/>
        <v>-2.5265285497726442E-3</v>
      </c>
      <c r="G74" s="300">
        <f t="shared" si="46"/>
        <v>-2.5265285497726442E-3</v>
      </c>
      <c r="H74" s="305">
        <f t="shared" si="46"/>
        <v>-2.6385224274406704E-3</v>
      </c>
      <c r="I74" s="297">
        <f t="shared" si="46"/>
        <v>3.2870708546384408E-2</v>
      </c>
      <c r="J74" s="297">
        <f t="shared" si="46"/>
        <v>-2.6385224274406704E-3</v>
      </c>
      <c r="K74" s="297">
        <f t="shared" si="46"/>
        <v>-2.7266530334014716E-3</v>
      </c>
      <c r="L74" s="297">
        <f t="shared" si="46"/>
        <v>-2.6385224274406704E-3</v>
      </c>
      <c r="M74" s="297">
        <f t="shared" si="46"/>
        <v>-2.7266530334014716E-3</v>
      </c>
      <c r="N74" s="297">
        <f t="shared" si="46"/>
        <v>-2.6385224274406704E-3</v>
      </c>
      <c r="O74" s="297">
        <f t="shared" si="46"/>
        <v>-2.6385224274406704E-3</v>
      </c>
      <c r="P74" s="297">
        <f t="shared" si="46"/>
        <v>-2.7266530334014716E-3</v>
      </c>
      <c r="Q74" s="297">
        <f t="shared" si="46"/>
        <v>-2.6385224274406704E-3</v>
      </c>
      <c r="R74" s="297">
        <f t="shared" si="46"/>
        <v>-2.7266530334014716E-3</v>
      </c>
      <c r="S74" s="300">
        <f t="shared" ref="S74:AQ74" si="48">ROUND(S60,2)/ROUND(S43,2)-1</f>
        <v>-2.6385224274406704E-3</v>
      </c>
      <c r="T74" s="305">
        <f t="shared" si="48"/>
        <v>0</v>
      </c>
      <c r="U74" s="297">
        <f t="shared" si="48"/>
        <v>0</v>
      </c>
      <c r="V74" s="297">
        <f t="shared" si="48"/>
        <v>0</v>
      </c>
      <c r="W74" s="297">
        <f t="shared" si="48"/>
        <v>0</v>
      </c>
      <c r="X74" s="297">
        <f t="shared" si="48"/>
        <v>0</v>
      </c>
      <c r="Y74" s="297">
        <f t="shared" si="48"/>
        <v>0</v>
      </c>
      <c r="Z74" s="297">
        <f t="shared" si="48"/>
        <v>0</v>
      </c>
      <c r="AA74" s="297">
        <f t="shared" si="48"/>
        <v>0</v>
      </c>
      <c r="AB74" s="297">
        <f t="shared" si="48"/>
        <v>0</v>
      </c>
      <c r="AC74" s="297">
        <f t="shared" si="48"/>
        <v>0</v>
      </c>
      <c r="AD74" s="297">
        <f t="shared" si="48"/>
        <v>0</v>
      </c>
      <c r="AE74" s="300">
        <f t="shared" si="48"/>
        <v>0</v>
      </c>
      <c r="AF74" s="305">
        <f t="shared" si="48"/>
        <v>0.1186440677966103</v>
      </c>
      <c r="AG74" s="297">
        <f t="shared" si="48"/>
        <v>0.1186440677966103</v>
      </c>
      <c r="AH74" s="297">
        <f t="shared" si="48"/>
        <v>0.1186440677966103</v>
      </c>
      <c r="AI74" s="297">
        <f t="shared" si="48"/>
        <v>0.1186440677966103</v>
      </c>
      <c r="AJ74" s="297">
        <f t="shared" si="48"/>
        <v>0.1186440677966103</v>
      </c>
      <c r="AK74" s="297">
        <f t="shared" si="48"/>
        <v>0.1186440677966103</v>
      </c>
      <c r="AL74" s="297">
        <f t="shared" si="48"/>
        <v>0.1186440677966103</v>
      </c>
      <c r="AM74" s="297">
        <f t="shared" si="48"/>
        <v>0.1186440677966103</v>
      </c>
      <c r="AN74" s="297">
        <f t="shared" si="48"/>
        <v>0.1186440677966103</v>
      </c>
      <c r="AO74" s="297">
        <f t="shared" si="48"/>
        <v>0.1186440677966103</v>
      </c>
      <c r="AP74" s="297">
        <f t="shared" si="48"/>
        <v>0.1186440677966103</v>
      </c>
      <c r="AQ74" s="350">
        <f t="shared" si="48"/>
        <v>0.1186440677966103</v>
      </c>
    </row>
    <row r="75" spans="2:43" x14ac:dyDescent="0.25">
      <c r="B75" s="349" t="s">
        <v>7</v>
      </c>
      <c r="C75" s="300">
        <f>ROUND(C61,2)/ROUND(C44,2)-1</f>
        <v>0</v>
      </c>
      <c r="D75" s="305">
        <f t="shared" si="46"/>
        <v>8.5227272727272929E-3</v>
      </c>
      <c r="E75" s="297">
        <f t="shared" si="46"/>
        <v>-2.5542784163473664E-3</v>
      </c>
      <c r="F75" s="297">
        <f t="shared" si="46"/>
        <v>-2.5265285497726442E-3</v>
      </c>
      <c r="G75" s="300">
        <f t="shared" si="46"/>
        <v>-2.5265285497726442E-3</v>
      </c>
      <c r="H75" s="305">
        <f t="shared" si="46"/>
        <v>-2.6385224274406704E-3</v>
      </c>
      <c r="I75" s="297">
        <f t="shared" si="46"/>
        <v>3.2870708546384408E-2</v>
      </c>
      <c r="J75" s="297">
        <f t="shared" si="46"/>
        <v>-2.6385224274406704E-3</v>
      </c>
      <c r="K75" s="297">
        <f t="shared" si="46"/>
        <v>-2.7266530334014716E-3</v>
      </c>
      <c r="L75" s="297">
        <f t="shared" si="46"/>
        <v>-2.6385224274406704E-3</v>
      </c>
      <c r="M75" s="297">
        <f t="shared" si="46"/>
        <v>-2.7266530334014716E-3</v>
      </c>
      <c r="N75" s="297">
        <f t="shared" si="46"/>
        <v>-2.6385224274406704E-3</v>
      </c>
      <c r="O75" s="297">
        <f t="shared" si="46"/>
        <v>-2.6385224274406704E-3</v>
      </c>
      <c r="P75" s="297">
        <f t="shared" si="46"/>
        <v>-2.7266530334014716E-3</v>
      </c>
      <c r="Q75" s="297">
        <f t="shared" si="46"/>
        <v>-2.6385224274406704E-3</v>
      </c>
      <c r="R75" s="297">
        <f>ROUND(R61,2)/ROUND(R44,2)-1</f>
        <v>-2.7266530334014716E-3</v>
      </c>
      <c r="S75" s="300">
        <f t="shared" ref="S75:AQ75" si="49">ROUND(S61,2)/ROUND(S44,2)-1</f>
        <v>-2.6385224274406704E-3</v>
      </c>
      <c r="T75" s="305">
        <f>ROUND(T61,2)/ROUND(T44,2)-1</f>
        <v>0</v>
      </c>
      <c r="U75" s="297">
        <f t="shared" si="49"/>
        <v>0</v>
      </c>
      <c r="V75" s="297">
        <f t="shared" si="49"/>
        <v>0</v>
      </c>
      <c r="W75" s="297">
        <f t="shared" si="49"/>
        <v>0</v>
      </c>
      <c r="X75" s="297">
        <f t="shared" si="49"/>
        <v>0</v>
      </c>
      <c r="Y75" s="297">
        <f t="shared" si="49"/>
        <v>0</v>
      </c>
      <c r="Z75" s="297">
        <f t="shared" si="49"/>
        <v>0</v>
      </c>
      <c r="AA75" s="297">
        <f t="shared" si="49"/>
        <v>0</v>
      </c>
      <c r="AB75" s="297">
        <f t="shared" si="49"/>
        <v>0</v>
      </c>
      <c r="AC75" s="297">
        <f t="shared" si="49"/>
        <v>0</v>
      </c>
      <c r="AD75" s="297">
        <f t="shared" si="49"/>
        <v>0</v>
      </c>
      <c r="AE75" s="300">
        <f t="shared" si="49"/>
        <v>0</v>
      </c>
      <c r="AF75" s="305">
        <f t="shared" si="49"/>
        <v>0.1186440677966103</v>
      </c>
      <c r="AG75" s="297">
        <f t="shared" si="49"/>
        <v>0.1186440677966103</v>
      </c>
      <c r="AH75" s="297">
        <f t="shared" si="49"/>
        <v>0.1186440677966103</v>
      </c>
      <c r="AI75" s="297">
        <f t="shared" si="49"/>
        <v>0.1186440677966103</v>
      </c>
      <c r="AJ75" s="297">
        <f t="shared" si="49"/>
        <v>0.1186440677966103</v>
      </c>
      <c r="AK75" s="297">
        <f t="shared" si="49"/>
        <v>0.1186440677966103</v>
      </c>
      <c r="AL75" s="297">
        <f t="shared" si="49"/>
        <v>0.1186440677966103</v>
      </c>
      <c r="AM75" s="297">
        <f t="shared" si="49"/>
        <v>0.1186440677966103</v>
      </c>
      <c r="AN75" s="297">
        <f t="shared" si="49"/>
        <v>0.1186440677966103</v>
      </c>
      <c r="AO75" s="297">
        <f t="shared" si="49"/>
        <v>0.1186440677966103</v>
      </c>
      <c r="AP75" s="297">
        <f t="shared" si="49"/>
        <v>0.1186440677966103</v>
      </c>
      <c r="AQ75" s="350">
        <f t="shared" si="49"/>
        <v>0.1186440677966103</v>
      </c>
    </row>
    <row r="76" spans="2:43" x14ac:dyDescent="0.25">
      <c r="B76" s="349" t="s">
        <v>307</v>
      </c>
      <c r="C76" s="300">
        <f t="shared" si="46"/>
        <v>0</v>
      </c>
      <c r="D76" s="305">
        <f t="shared" si="46"/>
        <v>8.5227272727272929E-3</v>
      </c>
      <c r="E76" s="297">
        <f t="shared" si="46"/>
        <v>-2.5542784163473664E-3</v>
      </c>
      <c r="F76" s="297">
        <f t="shared" si="46"/>
        <v>-2.5265285497726442E-3</v>
      </c>
      <c r="G76" s="300">
        <f t="shared" si="46"/>
        <v>-2.5265285497726442E-3</v>
      </c>
      <c r="H76" s="305">
        <f t="shared" si="46"/>
        <v>-2.6385224274406704E-3</v>
      </c>
      <c r="I76" s="297">
        <f t="shared" si="46"/>
        <v>3.2870708546384408E-2</v>
      </c>
      <c r="J76" s="297">
        <f t="shared" si="46"/>
        <v>-2.6385224274406704E-3</v>
      </c>
      <c r="K76" s="297">
        <f t="shared" si="46"/>
        <v>-2.7266530334014716E-3</v>
      </c>
      <c r="L76" s="297">
        <f t="shared" si="46"/>
        <v>-2.6385224274406704E-3</v>
      </c>
      <c r="M76" s="297">
        <f t="shared" si="46"/>
        <v>-2.7266530334014716E-3</v>
      </c>
      <c r="N76" s="297">
        <f t="shared" si="46"/>
        <v>-2.6385224274406704E-3</v>
      </c>
      <c r="O76" s="297">
        <f t="shared" si="46"/>
        <v>-2.6385224274406704E-3</v>
      </c>
      <c r="P76" s="297">
        <f t="shared" si="46"/>
        <v>-2.7266530334014716E-3</v>
      </c>
      <c r="Q76" s="297">
        <f t="shared" si="46"/>
        <v>-2.6385224274406704E-3</v>
      </c>
      <c r="R76" s="297">
        <f t="shared" si="46"/>
        <v>-2.7266530334014716E-3</v>
      </c>
      <c r="S76" s="300">
        <f t="shared" ref="S76:AQ76" si="50">ROUND(S62,2)/ROUND(S45,2)-1</f>
        <v>-2.6385224274406704E-3</v>
      </c>
      <c r="T76" s="305">
        <f>ROUND(T62,2)/ROUND(T45,2)-1</f>
        <v>0</v>
      </c>
      <c r="U76" s="297">
        <f t="shared" si="50"/>
        <v>0</v>
      </c>
      <c r="V76" s="297">
        <f t="shared" si="50"/>
        <v>0</v>
      </c>
      <c r="W76" s="297">
        <f t="shared" si="50"/>
        <v>0</v>
      </c>
      <c r="X76" s="297">
        <f t="shared" si="50"/>
        <v>0</v>
      </c>
      <c r="Y76" s="297">
        <f t="shared" si="50"/>
        <v>0</v>
      </c>
      <c r="Z76" s="297">
        <f t="shared" si="50"/>
        <v>0</v>
      </c>
      <c r="AA76" s="297">
        <f t="shared" si="50"/>
        <v>0</v>
      </c>
      <c r="AB76" s="297">
        <f t="shared" si="50"/>
        <v>0</v>
      </c>
      <c r="AC76" s="297">
        <f t="shared" si="50"/>
        <v>0</v>
      </c>
      <c r="AD76" s="297">
        <f t="shared" si="50"/>
        <v>0</v>
      </c>
      <c r="AE76" s="300">
        <f t="shared" si="50"/>
        <v>0</v>
      </c>
      <c r="AF76" s="305">
        <f t="shared" si="50"/>
        <v>0.1186440677966103</v>
      </c>
      <c r="AG76" s="297">
        <f t="shared" si="50"/>
        <v>0.1186440677966103</v>
      </c>
      <c r="AH76" s="297">
        <f t="shared" si="50"/>
        <v>0.1186440677966103</v>
      </c>
      <c r="AI76" s="297">
        <f t="shared" si="50"/>
        <v>0.1186440677966103</v>
      </c>
      <c r="AJ76" s="297">
        <f t="shared" si="50"/>
        <v>0.1186440677966103</v>
      </c>
      <c r="AK76" s="297">
        <f t="shared" si="50"/>
        <v>0.1186440677966103</v>
      </c>
      <c r="AL76" s="297">
        <f t="shared" si="50"/>
        <v>0.1186440677966103</v>
      </c>
      <c r="AM76" s="297">
        <f t="shared" si="50"/>
        <v>0.1186440677966103</v>
      </c>
      <c r="AN76" s="297">
        <f t="shared" si="50"/>
        <v>0.1186440677966103</v>
      </c>
      <c r="AO76" s="297">
        <f t="shared" si="50"/>
        <v>0.1186440677966103</v>
      </c>
      <c r="AP76" s="297">
        <f t="shared" si="50"/>
        <v>0.1186440677966103</v>
      </c>
      <c r="AQ76" s="350">
        <f t="shared" si="50"/>
        <v>0.1186440677966103</v>
      </c>
    </row>
    <row r="77" spans="2:43" x14ac:dyDescent="0.25">
      <c r="B77" s="349" t="s">
        <v>8</v>
      </c>
      <c r="C77" s="300">
        <f t="shared" si="46"/>
        <v>-6.3346476941539498E-2</v>
      </c>
      <c r="D77" s="305">
        <f t="shared" si="46"/>
        <v>-5.5309734513274367E-2</v>
      </c>
      <c r="E77" s="297">
        <f t="shared" si="46"/>
        <v>-6.5645514223194645E-2</v>
      </c>
      <c r="F77" s="297">
        <f t="shared" si="46"/>
        <v>-6.6151468315301387E-2</v>
      </c>
      <c r="G77" s="300">
        <f t="shared" si="46"/>
        <v>-6.6151468315301387E-2</v>
      </c>
      <c r="H77" s="305">
        <f t="shared" si="46"/>
        <v>-6.6182405165456037E-2</v>
      </c>
      <c r="I77" s="297">
        <f t="shared" si="46"/>
        <v>-3.3065236818587973E-2</v>
      </c>
      <c r="J77" s="297">
        <f t="shared" si="46"/>
        <v>-6.6182405165456037E-2</v>
      </c>
      <c r="K77" s="297">
        <f t="shared" si="46"/>
        <v>-6.5888240200166925E-2</v>
      </c>
      <c r="L77" s="297">
        <f t="shared" si="46"/>
        <v>-6.6182405165456037E-2</v>
      </c>
      <c r="M77" s="297">
        <f t="shared" si="46"/>
        <v>-6.5888240200166925E-2</v>
      </c>
      <c r="N77" s="297">
        <f t="shared" si="46"/>
        <v>-6.6182405165456037E-2</v>
      </c>
      <c r="O77" s="297">
        <f t="shared" si="46"/>
        <v>-6.6182405165456037E-2</v>
      </c>
      <c r="P77" s="297">
        <f t="shared" si="46"/>
        <v>-6.5888240200166925E-2</v>
      </c>
      <c r="Q77" s="297">
        <f t="shared" si="46"/>
        <v>-6.6182405165456037E-2</v>
      </c>
      <c r="R77" s="297">
        <f t="shared" si="46"/>
        <v>-6.5888240200166925E-2</v>
      </c>
      <c r="S77" s="300">
        <f t="shared" ref="S77:AQ77" si="51">ROUND(S63,2)/ROUND(S46,2)-1</f>
        <v>-6.6182405165456037E-2</v>
      </c>
      <c r="T77" s="305">
        <f t="shared" si="51"/>
        <v>-6.2499999999999889E-2</v>
      </c>
      <c r="U77" s="297">
        <f t="shared" si="51"/>
        <v>-6.2499999999999889E-2</v>
      </c>
      <c r="V77" s="297">
        <f t="shared" si="51"/>
        <v>-6.2499999999999889E-2</v>
      </c>
      <c r="W77" s="297">
        <f t="shared" si="51"/>
        <v>-6.2499999999999889E-2</v>
      </c>
      <c r="X77" s="297">
        <f t="shared" si="51"/>
        <v>-6.2499999999999889E-2</v>
      </c>
      <c r="Y77" s="297">
        <f t="shared" si="51"/>
        <v>-6.2499999999999889E-2</v>
      </c>
      <c r="Z77" s="297">
        <f t="shared" si="51"/>
        <v>-6.2499999999999889E-2</v>
      </c>
      <c r="AA77" s="297">
        <f t="shared" si="51"/>
        <v>-6.2499999999999889E-2</v>
      </c>
      <c r="AB77" s="297">
        <f t="shared" si="51"/>
        <v>-6.2499999999999889E-2</v>
      </c>
      <c r="AC77" s="297">
        <f t="shared" si="51"/>
        <v>-6.2499999999999889E-2</v>
      </c>
      <c r="AD77" s="297">
        <f t="shared" si="51"/>
        <v>-6.2499999999999889E-2</v>
      </c>
      <c r="AE77" s="300">
        <f t="shared" si="51"/>
        <v>-6.2499999999999889E-2</v>
      </c>
      <c r="AF77" s="305">
        <f t="shared" si="51"/>
        <v>6.25E-2</v>
      </c>
      <c r="AG77" s="297">
        <f t="shared" si="51"/>
        <v>6.25E-2</v>
      </c>
      <c r="AH77" s="297">
        <f t="shared" si="51"/>
        <v>6.25E-2</v>
      </c>
      <c r="AI77" s="297">
        <f t="shared" si="51"/>
        <v>6.25E-2</v>
      </c>
      <c r="AJ77" s="297">
        <f t="shared" si="51"/>
        <v>6.25E-2</v>
      </c>
      <c r="AK77" s="297">
        <f t="shared" si="51"/>
        <v>6.25E-2</v>
      </c>
      <c r="AL77" s="297">
        <f t="shared" si="51"/>
        <v>6.25E-2</v>
      </c>
      <c r="AM77" s="297">
        <f t="shared" si="51"/>
        <v>6.25E-2</v>
      </c>
      <c r="AN77" s="297">
        <f t="shared" si="51"/>
        <v>6.25E-2</v>
      </c>
      <c r="AO77" s="297">
        <f t="shared" si="51"/>
        <v>6.25E-2</v>
      </c>
      <c r="AP77" s="297">
        <f t="shared" si="51"/>
        <v>6.25E-2</v>
      </c>
      <c r="AQ77" s="350">
        <f t="shared" si="51"/>
        <v>6.25E-2</v>
      </c>
    </row>
    <row r="78" spans="2:43" x14ac:dyDescent="0.25">
      <c r="B78" s="349" t="s">
        <v>9</v>
      </c>
      <c r="C78" s="300">
        <f t="shared" si="46"/>
        <v>-0.13169164882226991</v>
      </c>
      <c r="D78" s="305">
        <f t="shared" si="46"/>
        <v>-0.14168937329700282</v>
      </c>
      <c r="E78" s="297">
        <f t="shared" si="46"/>
        <v>-5.2631578947368474E-2</v>
      </c>
      <c r="F78" s="297">
        <f t="shared" si="46"/>
        <v>-0.13453536754507622</v>
      </c>
      <c r="G78" s="300">
        <f t="shared" si="46"/>
        <v>-0.15365111561866118</v>
      </c>
      <c r="H78" s="305">
        <f t="shared" si="46"/>
        <v>-0.17728531855955676</v>
      </c>
      <c r="I78" s="297">
        <f t="shared" si="46"/>
        <v>-0.11005434782608703</v>
      </c>
      <c r="J78" s="297">
        <f t="shared" si="46"/>
        <v>-0.1466030989272944</v>
      </c>
      <c r="K78" s="297">
        <f t="shared" si="46"/>
        <v>-4.7210300429184504E-2</v>
      </c>
      <c r="L78" s="297">
        <f t="shared" si="46"/>
        <v>-5.5096418732782926E-3</v>
      </c>
      <c r="M78" s="297">
        <f t="shared" si="46"/>
        <v>-6.3829787234042423E-2</v>
      </c>
      <c r="N78" s="297">
        <f t="shared" si="46"/>
        <v>-4.3103448275861878E-2</v>
      </c>
      <c r="O78" s="297">
        <f t="shared" si="46"/>
        <v>-9.8540145985401506E-2</v>
      </c>
      <c r="P78" s="297">
        <f t="shared" si="46"/>
        <v>-0.21848739495798319</v>
      </c>
      <c r="Q78" s="297">
        <f t="shared" si="46"/>
        <v>-0.20722135007849296</v>
      </c>
      <c r="R78" s="297">
        <f t="shared" si="46"/>
        <v>-0.17889317889317891</v>
      </c>
      <c r="S78" s="300">
        <f t="shared" ref="S78:AQ78" si="52">ROUND(S64,2)/ROUND(S47,2)-1</f>
        <v>-0.10189075630252087</v>
      </c>
      <c r="T78" s="305">
        <f t="shared" si="52"/>
        <v>-0.17142857142857149</v>
      </c>
      <c r="U78" s="297">
        <f t="shared" si="52"/>
        <v>-0.15094339622641506</v>
      </c>
      <c r="V78" s="297">
        <f t="shared" si="52"/>
        <v>-0.14814814814814814</v>
      </c>
      <c r="W78" s="297">
        <f t="shared" si="52"/>
        <v>-3.2258064516129115E-2</v>
      </c>
      <c r="X78" s="297">
        <f t="shared" si="52"/>
        <v>0</v>
      </c>
      <c r="Y78" s="297">
        <f t="shared" si="52"/>
        <v>-5.2631578947368474E-2</v>
      </c>
      <c r="Z78" s="297">
        <f t="shared" si="52"/>
        <v>-6.6666666666666541E-2</v>
      </c>
      <c r="AA78" s="297">
        <f t="shared" si="52"/>
        <v>-0.11111111111111105</v>
      </c>
      <c r="AB78" s="297">
        <f t="shared" si="52"/>
        <v>-0.20833333333333326</v>
      </c>
      <c r="AC78" s="297">
        <f t="shared" si="52"/>
        <v>-0.19512195121951215</v>
      </c>
      <c r="AD78" s="297">
        <f t="shared" si="52"/>
        <v>-0.17307692307692313</v>
      </c>
      <c r="AE78" s="300">
        <f t="shared" si="52"/>
        <v>-9.8360655737704805E-2</v>
      </c>
      <c r="AF78" s="305">
        <f t="shared" si="52"/>
        <v>-0.17142857142857149</v>
      </c>
      <c r="AG78" s="297">
        <f t="shared" si="52"/>
        <v>-0.15094339622641506</v>
      </c>
      <c r="AH78" s="297">
        <f t="shared" si="52"/>
        <v>-0.14814814814814814</v>
      </c>
      <c r="AI78" s="297">
        <f t="shared" si="52"/>
        <v>-3.2258064516129115E-2</v>
      </c>
      <c r="AJ78" s="297">
        <f t="shared" si="52"/>
        <v>0</v>
      </c>
      <c r="AK78" s="297">
        <f t="shared" si="52"/>
        <v>-5.2631578947368474E-2</v>
      </c>
      <c r="AL78" s="297">
        <f t="shared" si="52"/>
        <v>-6.6666666666666541E-2</v>
      </c>
      <c r="AM78" s="297">
        <f t="shared" si="52"/>
        <v>-0.11111111111111105</v>
      </c>
      <c r="AN78" s="297">
        <f t="shared" si="52"/>
        <v>-0.20833333333333326</v>
      </c>
      <c r="AO78" s="297">
        <f t="shared" si="52"/>
        <v>-0.19512195121951215</v>
      </c>
      <c r="AP78" s="297">
        <f t="shared" si="52"/>
        <v>-0.17307692307692313</v>
      </c>
      <c r="AQ78" s="350">
        <f t="shared" si="52"/>
        <v>-9.8360655737704805E-2</v>
      </c>
    </row>
    <row r="79" spans="2:43" x14ac:dyDescent="0.25">
      <c r="B79" s="349" t="s">
        <v>84</v>
      </c>
      <c r="C79" s="300">
        <f t="shared" si="46"/>
        <v>-6.3346476941539498E-2</v>
      </c>
      <c r="D79" s="305">
        <f t="shared" si="46"/>
        <v>-5.5309734513274367E-2</v>
      </c>
      <c r="E79" s="297">
        <f t="shared" si="46"/>
        <v>-6.5645514223194645E-2</v>
      </c>
      <c r="F79" s="297">
        <f t="shared" si="46"/>
        <v>-6.6151468315301387E-2</v>
      </c>
      <c r="G79" s="300">
        <f t="shared" si="46"/>
        <v>-6.6151468315301387E-2</v>
      </c>
      <c r="H79" s="305">
        <f t="shared" si="46"/>
        <v>-6.6182405165456037E-2</v>
      </c>
      <c r="I79" s="297">
        <f t="shared" si="46"/>
        <v>-3.3065236818587973E-2</v>
      </c>
      <c r="J79" s="297">
        <f t="shared" si="46"/>
        <v>-6.6182405165456037E-2</v>
      </c>
      <c r="K79" s="297">
        <f t="shared" si="46"/>
        <v>-6.5888240200166925E-2</v>
      </c>
      <c r="L79" s="297">
        <f t="shared" si="46"/>
        <v>-6.6182405165456037E-2</v>
      </c>
      <c r="M79" s="297">
        <f t="shared" si="46"/>
        <v>-6.5888240200166925E-2</v>
      </c>
      <c r="N79" s="297">
        <f t="shared" si="46"/>
        <v>-6.6182405165456037E-2</v>
      </c>
      <c r="O79" s="297">
        <f t="shared" si="46"/>
        <v>-6.6182405165456037E-2</v>
      </c>
      <c r="P79" s="297">
        <f t="shared" si="46"/>
        <v>-6.5888240200166925E-2</v>
      </c>
      <c r="Q79" s="297">
        <f t="shared" si="46"/>
        <v>-6.6182405165456037E-2</v>
      </c>
      <c r="R79" s="297">
        <f t="shared" si="46"/>
        <v>-6.5888240200166925E-2</v>
      </c>
      <c r="S79" s="300">
        <f t="shared" ref="S79:AQ79" si="53">ROUND(S65,2)/ROUND(S48,2)-1</f>
        <v>-6.6182405165456037E-2</v>
      </c>
      <c r="T79" s="305">
        <f t="shared" si="53"/>
        <v>-6.2499999999999889E-2</v>
      </c>
      <c r="U79" s="297">
        <f t="shared" si="53"/>
        <v>-6.2499999999999889E-2</v>
      </c>
      <c r="V79" s="297">
        <f t="shared" si="53"/>
        <v>-6.2499999999999889E-2</v>
      </c>
      <c r="W79" s="297">
        <f t="shared" si="53"/>
        <v>-6.2499999999999889E-2</v>
      </c>
      <c r="X79" s="297">
        <f t="shared" si="53"/>
        <v>-6.2499999999999889E-2</v>
      </c>
      <c r="Y79" s="297">
        <f t="shared" si="53"/>
        <v>-6.2499999999999889E-2</v>
      </c>
      <c r="Z79" s="297">
        <f t="shared" si="53"/>
        <v>-6.2499999999999889E-2</v>
      </c>
      <c r="AA79" s="297">
        <f t="shared" si="53"/>
        <v>-6.2499999999999889E-2</v>
      </c>
      <c r="AB79" s="297">
        <f t="shared" si="53"/>
        <v>-6.2499999999999889E-2</v>
      </c>
      <c r="AC79" s="297">
        <f t="shared" si="53"/>
        <v>-6.2499999999999889E-2</v>
      </c>
      <c r="AD79" s="297">
        <f t="shared" si="53"/>
        <v>-6.2499999999999889E-2</v>
      </c>
      <c r="AE79" s="300">
        <f t="shared" si="53"/>
        <v>-6.2499999999999889E-2</v>
      </c>
      <c r="AF79" s="305">
        <f t="shared" si="53"/>
        <v>6.25E-2</v>
      </c>
      <c r="AG79" s="297">
        <f t="shared" si="53"/>
        <v>6.25E-2</v>
      </c>
      <c r="AH79" s="297">
        <f t="shared" si="53"/>
        <v>6.25E-2</v>
      </c>
      <c r="AI79" s="297">
        <f t="shared" si="53"/>
        <v>6.25E-2</v>
      </c>
      <c r="AJ79" s="297">
        <f t="shared" si="53"/>
        <v>6.25E-2</v>
      </c>
      <c r="AK79" s="297">
        <f t="shared" si="53"/>
        <v>6.25E-2</v>
      </c>
      <c r="AL79" s="297">
        <f t="shared" si="53"/>
        <v>6.25E-2</v>
      </c>
      <c r="AM79" s="297">
        <f t="shared" si="53"/>
        <v>6.25E-2</v>
      </c>
      <c r="AN79" s="297">
        <f t="shared" si="53"/>
        <v>6.25E-2</v>
      </c>
      <c r="AO79" s="297">
        <f t="shared" si="53"/>
        <v>6.25E-2</v>
      </c>
      <c r="AP79" s="297">
        <f t="shared" si="53"/>
        <v>6.25E-2</v>
      </c>
      <c r="AQ79" s="350">
        <f t="shared" si="53"/>
        <v>6.25E-2</v>
      </c>
    </row>
    <row r="80" spans="2:43" x14ac:dyDescent="0.25">
      <c r="B80" s="349" t="s">
        <v>309</v>
      </c>
      <c r="C80" s="300">
        <f>ROUND(C66,2)/ROUND(C49,2)-1</f>
        <v>7.0097164386277999E-2</v>
      </c>
      <c r="D80" s="305">
        <f t="shared" ref="D80:AQ80" si="54">ROUND(D66,2)/ROUND(D49,2)-1</f>
        <v>5.803195962994101E-2</v>
      </c>
      <c r="E80" s="297">
        <f t="shared" si="54"/>
        <v>0.16699801192842934</v>
      </c>
      <c r="F80" s="297">
        <f t="shared" si="54"/>
        <v>6.7437379576107848E-2</v>
      </c>
      <c r="G80" s="300">
        <f t="shared" si="54"/>
        <v>4.3447627994363636E-2</v>
      </c>
      <c r="H80" s="305">
        <f t="shared" si="54"/>
        <v>1.410859341598969E-2</v>
      </c>
      <c r="I80" s="297">
        <f t="shared" si="54"/>
        <v>9.7484276729559616E-2</v>
      </c>
      <c r="J80" s="297">
        <f t="shared" si="54"/>
        <v>5.1876379690949159E-2</v>
      </c>
      <c r="K80" s="297">
        <f t="shared" si="54"/>
        <v>0.17279046673286991</v>
      </c>
      <c r="L80" s="297">
        <f t="shared" si="54"/>
        <v>0.22448979591836737</v>
      </c>
      <c r="M80" s="297">
        <f t="shared" si="54"/>
        <v>0.15435139573070611</v>
      </c>
      <c r="N80" s="297">
        <f t="shared" si="54"/>
        <v>0.17764471057884235</v>
      </c>
      <c r="O80" s="297">
        <f t="shared" si="54"/>
        <v>0.11336717428087995</v>
      </c>
      <c r="P80" s="297">
        <f t="shared" si="54"/>
        <v>-3.6316472114137466E-2</v>
      </c>
      <c r="Q80" s="297">
        <f t="shared" si="54"/>
        <v>-2.2545454545454535E-2</v>
      </c>
      <c r="R80" s="297">
        <f t="shared" si="54"/>
        <v>1.1911852293031489E-2</v>
      </c>
      <c r="S80" s="300">
        <f t="shared" si="54"/>
        <v>0.10700389105058372</v>
      </c>
      <c r="T80" s="305">
        <f t="shared" si="54"/>
        <v>1.3245033112582849E-2</v>
      </c>
      <c r="U80" s="297">
        <f t="shared" si="54"/>
        <v>5.2631578947368363E-2</v>
      </c>
      <c r="V80" s="297">
        <f t="shared" si="54"/>
        <v>5.1282051282051322E-2</v>
      </c>
      <c r="W80" s="297">
        <f t="shared" si="54"/>
        <v>0.17910447761194037</v>
      </c>
      <c r="X80" s="297">
        <f t="shared" si="54"/>
        <v>0.21568627450980382</v>
      </c>
      <c r="Y80" s="297">
        <f t="shared" si="54"/>
        <v>0.14634146341463405</v>
      </c>
      <c r="Z80" s="297">
        <f t="shared" si="54"/>
        <v>0.1875</v>
      </c>
      <c r="AA80" s="297">
        <f t="shared" si="54"/>
        <v>0.10526315789473673</v>
      </c>
      <c r="AB80" s="297">
        <f t="shared" si="54"/>
        <v>-1.9607843137254943E-2</v>
      </c>
      <c r="AC80" s="297">
        <f t="shared" si="54"/>
        <v>-2.2471910112359605E-2</v>
      </c>
      <c r="AD80" s="297">
        <f t="shared" si="54"/>
        <v>8.9285714285711748E-3</v>
      </c>
      <c r="AE80" s="300">
        <f t="shared" si="54"/>
        <v>0.10526315789473673</v>
      </c>
      <c r="AF80" s="305">
        <f t="shared" si="54"/>
        <v>1.3245033112582849E-2</v>
      </c>
      <c r="AG80" s="297">
        <f t="shared" si="54"/>
        <v>5.2631578947368363E-2</v>
      </c>
      <c r="AH80" s="297">
        <f t="shared" si="54"/>
        <v>5.1282051282051322E-2</v>
      </c>
      <c r="AI80" s="297">
        <f t="shared" si="54"/>
        <v>0.17910447761194037</v>
      </c>
      <c r="AJ80" s="297">
        <f t="shared" si="54"/>
        <v>0.21568627450980382</v>
      </c>
      <c r="AK80" s="297">
        <f t="shared" si="54"/>
        <v>0.14634146341463405</v>
      </c>
      <c r="AL80" s="297">
        <f t="shared" si="54"/>
        <v>0.1875</v>
      </c>
      <c r="AM80" s="297">
        <f t="shared" si="54"/>
        <v>0.10526315789473673</v>
      </c>
      <c r="AN80" s="297">
        <f t="shared" si="54"/>
        <v>-1.9607843137254943E-2</v>
      </c>
      <c r="AO80" s="297">
        <f t="shared" si="54"/>
        <v>-2.2471910112359605E-2</v>
      </c>
      <c r="AP80" s="297">
        <f t="shared" si="54"/>
        <v>8.9285714285711748E-3</v>
      </c>
      <c r="AQ80" s="350">
        <f t="shared" si="54"/>
        <v>0.10526315789473673</v>
      </c>
    </row>
    <row r="81" spans="2:43" ht="15.75" thickBot="1" x14ac:dyDescent="0.3">
      <c r="B81" s="351" t="s">
        <v>310</v>
      </c>
      <c r="C81" s="352">
        <f>ROUND(C67,2)/ROUND(C50,2)-1</f>
        <v>0.51563510890662068</v>
      </c>
      <c r="D81" s="353">
        <f t="shared" ref="D81:AQ81" si="55">ROUND(D67,2)/ROUND(D50,2)-1</f>
        <v>0.49794238683127556</v>
      </c>
      <c r="E81" s="354">
        <f t="shared" si="55"/>
        <v>0.65297297297297296</v>
      </c>
      <c r="F81" s="354">
        <f t="shared" si="55"/>
        <v>0.511173184357542</v>
      </c>
      <c r="G81" s="352">
        <f t="shared" si="55"/>
        <v>0.47752808988764062</v>
      </c>
      <c r="H81" s="353">
        <f t="shared" si="55"/>
        <v>0.43720930232558142</v>
      </c>
      <c r="I81" s="354">
        <f t="shared" si="55"/>
        <v>0.55403556771545825</v>
      </c>
      <c r="J81" s="354">
        <f t="shared" si="55"/>
        <v>0.48979591836734704</v>
      </c>
      <c r="K81" s="354">
        <f t="shared" si="55"/>
        <v>0.66090712742980573</v>
      </c>
      <c r="L81" s="354">
        <f t="shared" si="55"/>
        <v>0.73611111111111116</v>
      </c>
      <c r="M81" s="354">
        <f t="shared" si="55"/>
        <v>0.6357142857142859</v>
      </c>
      <c r="N81" s="354">
        <f t="shared" si="55"/>
        <v>0.66956521739130448</v>
      </c>
      <c r="O81" s="354">
        <f t="shared" si="55"/>
        <v>0.57720588235294112</v>
      </c>
      <c r="P81" s="354">
        <f t="shared" si="55"/>
        <v>0.36723163841807893</v>
      </c>
      <c r="Q81" s="354">
        <f t="shared" si="55"/>
        <v>0.38449367088607578</v>
      </c>
      <c r="R81" s="354">
        <f t="shared" si="55"/>
        <v>0.43264248704663233</v>
      </c>
      <c r="S81" s="352">
        <f t="shared" si="55"/>
        <v>0.56825396825396846</v>
      </c>
      <c r="T81" s="353">
        <f t="shared" si="55"/>
        <v>0.4492753623188408</v>
      </c>
      <c r="U81" s="354">
        <f t="shared" si="55"/>
        <v>0.5</v>
      </c>
      <c r="V81" s="354">
        <f t="shared" si="55"/>
        <v>0.4814814814814814</v>
      </c>
      <c r="W81" s="354">
        <f t="shared" si="55"/>
        <v>0.64516129032258074</v>
      </c>
      <c r="X81" s="354">
        <f t="shared" si="55"/>
        <v>0.73913043478260865</v>
      </c>
      <c r="Y81" s="354">
        <f t="shared" si="55"/>
        <v>0.63157894736842102</v>
      </c>
      <c r="Z81" s="354">
        <f t="shared" si="55"/>
        <v>0.66666666666666674</v>
      </c>
      <c r="AA81" s="354">
        <f t="shared" si="55"/>
        <v>0.5555555555555558</v>
      </c>
      <c r="AB81" s="354">
        <f t="shared" si="55"/>
        <v>0.33333333333333348</v>
      </c>
      <c r="AC81" s="354">
        <f t="shared" si="55"/>
        <v>0.36585365853658547</v>
      </c>
      <c r="AD81" s="354">
        <f t="shared" si="55"/>
        <v>0.4509803921568627</v>
      </c>
      <c r="AE81" s="352">
        <f t="shared" si="55"/>
        <v>0.57377049180327866</v>
      </c>
      <c r="AF81" s="353">
        <f t="shared" si="55"/>
        <v>0.4492753623188408</v>
      </c>
      <c r="AG81" s="354">
        <f t="shared" si="55"/>
        <v>0.5</v>
      </c>
      <c r="AH81" s="354">
        <f t="shared" si="55"/>
        <v>0.4814814814814814</v>
      </c>
      <c r="AI81" s="354">
        <f t="shared" si="55"/>
        <v>0.64516129032258074</v>
      </c>
      <c r="AJ81" s="354">
        <f t="shared" si="55"/>
        <v>0.73913043478260865</v>
      </c>
      <c r="AK81" s="354">
        <f t="shared" si="55"/>
        <v>0.63157894736842102</v>
      </c>
      <c r="AL81" s="354">
        <f t="shared" si="55"/>
        <v>0.66666666666666674</v>
      </c>
      <c r="AM81" s="354">
        <f t="shared" si="55"/>
        <v>0.5555555555555558</v>
      </c>
      <c r="AN81" s="354">
        <f t="shared" si="55"/>
        <v>0.33333333333333348</v>
      </c>
      <c r="AO81" s="354">
        <f t="shared" si="55"/>
        <v>0.36585365853658547</v>
      </c>
      <c r="AP81" s="354">
        <f t="shared" si="55"/>
        <v>0.4509803921568627</v>
      </c>
      <c r="AQ81" s="355">
        <f t="shared" si="55"/>
        <v>0.57377049180327866</v>
      </c>
    </row>
    <row r="82" spans="2:43" x14ac:dyDescent="0.25">
      <c r="F82" s="87"/>
      <c r="G82" s="87"/>
      <c r="H82" s="87"/>
      <c r="I82" s="87"/>
      <c r="J82" s="87"/>
      <c r="K82" s="87"/>
    </row>
    <row r="83" spans="2:43" x14ac:dyDescent="0.25">
      <c r="F83" s="87"/>
      <c r="G83" s="87"/>
      <c r="H83" s="87"/>
      <c r="I83" s="87"/>
      <c r="J83" s="87"/>
      <c r="K83" s="87"/>
    </row>
    <row r="85" spans="2:43" x14ac:dyDescent="0.25">
      <c r="T85" s="192"/>
    </row>
    <row r="86" spans="2:43" x14ac:dyDescent="0.25">
      <c r="V86" s="41"/>
    </row>
    <row r="87" spans="2:43" x14ac:dyDescent="0.25">
      <c r="T87" s="191"/>
      <c r="V87" s="41"/>
      <c r="X87" s="176"/>
    </row>
    <row r="88" spans="2:43" x14ac:dyDescent="0.25">
      <c r="T88" s="41"/>
      <c r="U88" s="41"/>
    </row>
    <row r="89" spans="2:43" x14ac:dyDescent="0.25">
      <c r="U89" s="41"/>
    </row>
    <row r="90" spans="2:43" x14ac:dyDescent="0.25">
      <c r="U90" s="176"/>
    </row>
    <row r="94" spans="2:43" x14ac:dyDescent="0.25">
      <c r="V94" s="190"/>
    </row>
  </sheetData>
  <mergeCells count="41">
    <mergeCell ref="B28:B29"/>
    <mergeCell ref="T22:AE22"/>
    <mergeCell ref="B34:AQ34"/>
    <mergeCell ref="C35:C40"/>
    <mergeCell ref="D35:G35"/>
    <mergeCell ref="H35:S35"/>
    <mergeCell ref="T35:AE35"/>
    <mergeCell ref="AF35:AQ35"/>
    <mergeCell ref="T28:AE28"/>
    <mergeCell ref="D28:G28"/>
    <mergeCell ref="H28:S28"/>
    <mergeCell ref="B33:AQ33"/>
    <mergeCell ref="C28:C29"/>
    <mergeCell ref="B6:S6"/>
    <mergeCell ref="B9:B10"/>
    <mergeCell ref="C15:C16"/>
    <mergeCell ref="C22:C23"/>
    <mergeCell ref="H15:K15"/>
    <mergeCell ref="L15:N15"/>
    <mergeCell ref="D15:G15"/>
    <mergeCell ref="D22:G22"/>
    <mergeCell ref="H22:S22"/>
    <mergeCell ref="B15:B16"/>
    <mergeCell ref="B22:B23"/>
    <mergeCell ref="U9:X9"/>
    <mergeCell ref="Y9:AJ9"/>
    <mergeCell ref="B8:AJ8"/>
    <mergeCell ref="H9:S9"/>
    <mergeCell ref="D9:G9"/>
    <mergeCell ref="B51:AQ51"/>
    <mergeCell ref="C52:C57"/>
    <mergeCell ref="D52:G52"/>
    <mergeCell ref="H52:S52"/>
    <mergeCell ref="T52:AE52"/>
    <mergeCell ref="AF52:AQ52"/>
    <mergeCell ref="B69:AQ69"/>
    <mergeCell ref="C70:C71"/>
    <mergeCell ref="D70:G70"/>
    <mergeCell ref="H70:S70"/>
    <mergeCell ref="T70:AE70"/>
    <mergeCell ref="AF70:AQ70"/>
  </mergeCells>
  <phoneticPr fontId="53" type="noConversion"/>
  <pageMargins left="0.7" right="0.7" top="0.75" bottom="0.75" header="0.3" footer="0.3"/>
  <pageSetup paperSize="9" scale="36"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F46E5F-2084-4854-BE28-1486C92D3684}">
  <dimension ref="B1:Y116"/>
  <sheetViews>
    <sheetView zoomScale="90" zoomScaleNormal="90" workbookViewId="0">
      <selection activeCell="T76" sqref="T76"/>
    </sheetView>
  </sheetViews>
  <sheetFormatPr defaultColWidth="8.7109375" defaultRowHeight="15" x14ac:dyDescent="0.25"/>
  <cols>
    <col min="1" max="1" width="2.42578125" customWidth="1"/>
    <col min="2" max="2" width="50.42578125" customWidth="1"/>
    <col min="3" max="3" width="19.28515625" customWidth="1"/>
    <col min="4" max="4" width="17.42578125" customWidth="1"/>
    <col min="5" max="5" width="18.42578125" customWidth="1"/>
    <col min="6" max="6" width="18.7109375" bestFit="1" customWidth="1"/>
    <col min="7" max="7" width="17.140625" customWidth="1"/>
    <col min="8" max="8" width="12.7109375" customWidth="1"/>
    <col min="9" max="9" width="11.28515625" bestFit="1" customWidth="1"/>
    <col min="10" max="11" width="11.28515625" customWidth="1"/>
    <col min="12" max="12" width="12.28515625" customWidth="1"/>
    <col min="13" max="13" width="13" customWidth="1"/>
    <col min="14" max="14" width="10.85546875" customWidth="1"/>
    <col min="15" max="15" width="16.140625" customWidth="1"/>
    <col min="16" max="16" width="11.42578125" customWidth="1"/>
    <col min="17" max="17" width="13.5703125" customWidth="1"/>
    <col min="18" max="18" width="12.5703125" customWidth="1"/>
    <col min="19" max="19" width="9.85546875" customWidth="1"/>
    <col min="20" max="20" width="9.5703125" customWidth="1"/>
    <col min="21" max="21" width="9.85546875" customWidth="1"/>
    <col min="22" max="22" width="10" customWidth="1"/>
    <col min="23" max="23" width="10.140625" customWidth="1"/>
    <col min="24" max="24" width="10" customWidth="1"/>
    <col min="25" max="25" width="12.140625" customWidth="1"/>
  </cols>
  <sheetData>
    <row r="1" spans="2:15" ht="15.75" x14ac:dyDescent="0.25">
      <c r="B1" s="681" t="s">
        <v>161</v>
      </c>
      <c r="C1" s="681"/>
      <c r="D1" s="681"/>
      <c r="E1" s="681"/>
      <c r="F1" s="681"/>
      <c r="G1" s="681"/>
      <c r="H1" s="681"/>
      <c r="I1" s="681"/>
      <c r="J1" s="681"/>
      <c r="K1" s="681"/>
      <c r="L1" s="681"/>
      <c r="M1" s="681"/>
      <c r="N1" s="681"/>
      <c r="O1" s="681"/>
    </row>
    <row r="3" spans="2:15" x14ac:dyDescent="0.25">
      <c r="B3" s="93" t="s">
        <v>163</v>
      </c>
    </row>
    <row r="4" spans="2:15" ht="29.1" customHeight="1" x14ac:dyDescent="0.25">
      <c r="B4" s="693"/>
      <c r="C4" s="649" t="s">
        <v>88</v>
      </c>
      <c r="D4" s="650"/>
      <c r="E4" s="650"/>
      <c r="F4" s="650"/>
      <c r="G4" s="650"/>
      <c r="H4" s="650"/>
      <c r="I4" s="650"/>
      <c r="J4" s="650"/>
      <c r="K4" s="650"/>
      <c r="L4" s="650"/>
      <c r="M4" s="651"/>
      <c r="N4" s="113" t="s">
        <v>89</v>
      </c>
      <c r="O4" s="644" t="s">
        <v>90</v>
      </c>
    </row>
    <row r="5" spans="2:15" ht="75" x14ac:dyDescent="0.25">
      <c r="B5" s="695"/>
      <c r="C5" s="114" t="s">
        <v>91</v>
      </c>
      <c r="D5" s="114" t="s">
        <v>92</v>
      </c>
      <c r="E5" s="114" t="s">
        <v>93</v>
      </c>
      <c r="F5" s="114" t="s">
        <v>94</v>
      </c>
      <c r="G5" s="114" t="s">
        <v>172</v>
      </c>
      <c r="H5" s="114" t="s">
        <v>123</v>
      </c>
      <c r="I5" s="114" t="s">
        <v>95</v>
      </c>
      <c r="J5" s="114" t="s">
        <v>96</v>
      </c>
      <c r="K5" s="114" t="s">
        <v>124</v>
      </c>
      <c r="L5" s="114" t="s">
        <v>127</v>
      </c>
      <c r="M5" s="114" t="s">
        <v>128</v>
      </c>
      <c r="N5" s="114" t="s">
        <v>126</v>
      </c>
      <c r="O5" s="644"/>
    </row>
    <row r="6" spans="2:15" x14ac:dyDescent="0.25">
      <c r="B6" s="115" t="s">
        <v>97</v>
      </c>
      <c r="C6" s="683">
        <f>+'Annex 2. Prices 2024'!F26</f>
        <v>55566.797349652676</v>
      </c>
      <c r="D6" s="684"/>
      <c r="E6" s="684"/>
      <c r="F6" s="684"/>
      <c r="G6" s="684"/>
      <c r="H6" s="684"/>
      <c r="I6" s="684"/>
      <c r="J6" s="684"/>
      <c r="K6" s="684"/>
      <c r="L6" s="684"/>
      <c r="M6" s="685"/>
      <c r="N6" s="116">
        <f>+'Annex 2. Prices 2024'!F28</f>
        <v>13450.532650347319</v>
      </c>
      <c r="O6" s="117">
        <f>C6+N6</f>
        <v>69017.329999999987</v>
      </c>
    </row>
    <row r="7" spans="2:15" x14ac:dyDescent="0.25">
      <c r="B7" s="118" t="s">
        <v>135</v>
      </c>
      <c r="C7" s="696" t="s">
        <v>2</v>
      </c>
      <c r="D7" s="697"/>
      <c r="E7" s="697"/>
      <c r="F7" s="697"/>
      <c r="G7" s="697"/>
      <c r="H7" s="697"/>
      <c r="I7" s="697"/>
      <c r="J7" s="697"/>
      <c r="K7" s="697"/>
      <c r="L7" s="697"/>
      <c r="M7" s="698"/>
      <c r="N7" s="116"/>
      <c r="O7" s="159">
        <f>1-O8</f>
        <v>0.8334439634163513</v>
      </c>
    </row>
    <row r="8" spans="2:15" x14ac:dyDescent="0.25">
      <c r="B8" s="118" t="s">
        <v>125</v>
      </c>
      <c r="C8" s="696" t="s">
        <v>2</v>
      </c>
      <c r="D8" s="697"/>
      <c r="E8" s="697"/>
      <c r="F8" s="697"/>
      <c r="G8" s="697"/>
      <c r="H8" s="697"/>
      <c r="I8" s="697"/>
      <c r="J8" s="697"/>
      <c r="K8" s="697"/>
      <c r="L8" s="697"/>
      <c r="M8" s="698"/>
      <c r="N8" s="119" t="s">
        <v>2</v>
      </c>
      <c r="O8" s="159">
        <f>+'Annex 2. Prices 2024'!F80</f>
        <v>0.1665560365836487</v>
      </c>
    </row>
    <row r="9" spans="2:15" x14ac:dyDescent="0.25">
      <c r="B9" s="115" t="s">
        <v>98</v>
      </c>
      <c r="C9" s="683">
        <f>+C6-I11*SUM(I12:L12)/1000</f>
        <v>45968.745748299407</v>
      </c>
      <c r="D9" s="684"/>
      <c r="E9" s="684"/>
      <c r="F9" s="684"/>
      <c r="G9" s="684"/>
      <c r="H9" s="684"/>
      <c r="I9" s="684"/>
      <c r="J9" s="684"/>
      <c r="K9" s="684"/>
      <c r="L9" s="684"/>
      <c r="M9" s="685"/>
      <c r="N9" s="119" t="s">
        <v>2</v>
      </c>
      <c r="O9" s="120">
        <f>+C9</f>
        <v>45968.745748299407</v>
      </c>
    </row>
    <row r="10" spans="2:15" x14ac:dyDescent="0.25">
      <c r="B10" s="115" t="s">
        <v>98</v>
      </c>
      <c r="C10" s="122" t="s">
        <v>2</v>
      </c>
      <c r="D10" s="122" t="s">
        <v>2</v>
      </c>
      <c r="E10" s="122" t="s">
        <v>2</v>
      </c>
      <c r="F10" s="122" t="s">
        <v>2</v>
      </c>
      <c r="G10" s="122"/>
      <c r="H10" s="122" t="s">
        <v>2</v>
      </c>
      <c r="I10" s="686">
        <f>+I11*SUM(I12:M12)/1000</f>
        <v>11495.252940385753</v>
      </c>
      <c r="J10" s="686"/>
      <c r="K10" s="686"/>
      <c r="L10" s="686"/>
      <c r="M10" s="686"/>
      <c r="N10" s="119" t="s">
        <v>2</v>
      </c>
      <c r="O10" s="120">
        <f>+I10</f>
        <v>11495.252940385753</v>
      </c>
    </row>
    <row r="11" spans="2:15" x14ac:dyDescent="0.25">
      <c r="B11" s="121" t="s">
        <v>162</v>
      </c>
      <c r="C11" s="122" t="s">
        <v>2</v>
      </c>
      <c r="D11" s="122" t="s">
        <v>2</v>
      </c>
      <c r="E11" s="122" t="s">
        <v>2</v>
      </c>
      <c r="F11" s="122" t="s">
        <v>2</v>
      </c>
      <c r="G11" s="122"/>
      <c r="H11" s="122" t="s">
        <v>2</v>
      </c>
      <c r="I11" s="682">
        <f>+O6*1000*O8/SUM(I12:M12)</f>
        <v>0.17357744021273244</v>
      </c>
      <c r="J11" s="682"/>
      <c r="K11" s="682"/>
      <c r="L11" s="682"/>
      <c r="M11" s="682"/>
      <c r="N11" s="119" t="s">
        <v>2</v>
      </c>
      <c r="O11" s="120"/>
    </row>
    <row r="12" spans="2:15" x14ac:dyDescent="0.25">
      <c r="B12" s="118" t="s">
        <v>164</v>
      </c>
      <c r="C12" s="122" t="s">
        <v>2</v>
      </c>
      <c r="D12" s="122" t="s">
        <v>2</v>
      </c>
      <c r="E12" s="122" t="s">
        <v>2</v>
      </c>
      <c r="F12" s="122" t="s">
        <v>2</v>
      </c>
      <c r="G12" s="122"/>
      <c r="H12" s="122" t="s">
        <v>2</v>
      </c>
      <c r="I12" s="123">
        <f>+'Annex 2. Prices 2024'!F107</f>
        <v>7700000</v>
      </c>
      <c r="J12" s="123">
        <f>+'Annex 2. Prices 2024'!F109</f>
        <v>26000000</v>
      </c>
      <c r="K12" s="123">
        <f>+'Annex 2. Prices 2024'!F110</f>
        <v>11474036</v>
      </c>
      <c r="L12" s="123">
        <f>+'Annex 2. Prices 2024'!F115</f>
        <v>10121465.47525</v>
      </c>
      <c r="M12" s="123">
        <f>+'Annex 2. Prices 2024'!F116</f>
        <v>10929999.52475</v>
      </c>
      <c r="N12" s="119" t="s">
        <v>2</v>
      </c>
      <c r="O12" s="120">
        <f>+SUM(I12:M12)</f>
        <v>66225501</v>
      </c>
    </row>
    <row r="13" spans="2:15" x14ac:dyDescent="0.25">
      <c r="B13" s="115" t="s">
        <v>99</v>
      </c>
      <c r="C13" s="688" t="s">
        <v>2</v>
      </c>
      <c r="D13" s="689"/>
      <c r="E13" s="689"/>
      <c r="F13" s="689"/>
      <c r="G13" s="689"/>
      <c r="H13" s="690"/>
      <c r="I13" s="124">
        <f>$I$11*I12/1000</f>
        <v>1336.54628963804</v>
      </c>
      <c r="J13" s="124">
        <f>$I$11*J12/1000</f>
        <v>4513.0134455310435</v>
      </c>
      <c r="K13" s="124">
        <f>$I$11*K12/1000</f>
        <v>1991.6337977887397</v>
      </c>
      <c r="L13" s="124">
        <f>$I$11*L12/1000</f>
        <v>1756.8580683954426</v>
      </c>
      <c r="M13" s="124">
        <f>$I$11*M12/1000</f>
        <v>1897.2013390324871</v>
      </c>
      <c r="N13" s="125" t="s">
        <v>2</v>
      </c>
      <c r="O13" s="126">
        <f>I13+J13+K13+L13+M13</f>
        <v>11495.252940385752</v>
      </c>
    </row>
    <row r="14" spans="2:15" x14ac:dyDescent="0.25">
      <c r="B14" s="163"/>
      <c r="C14" s="164"/>
      <c r="D14" s="164"/>
      <c r="E14" s="164"/>
      <c r="F14" s="164"/>
      <c r="G14" s="164"/>
      <c r="H14" s="164"/>
      <c r="I14" s="165"/>
      <c r="J14" s="165"/>
      <c r="K14" s="165"/>
      <c r="L14" s="165"/>
      <c r="M14" s="165"/>
      <c r="N14" s="166"/>
      <c r="O14" s="167"/>
    </row>
    <row r="15" spans="2:15" x14ac:dyDescent="0.25">
      <c r="B15" s="93" t="s">
        <v>165</v>
      </c>
      <c r="C15" s="128"/>
      <c r="D15" s="128"/>
      <c r="E15" s="128"/>
      <c r="F15" s="128"/>
      <c r="G15" s="128"/>
      <c r="H15" s="128"/>
      <c r="I15" s="128"/>
      <c r="J15" s="128"/>
      <c r="K15" s="128"/>
      <c r="L15" s="127"/>
      <c r="M15" s="127"/>
      <c r="N15" s="127"/>
    </row>
    <row r="16" spans="2:15" ht="7.7" customHeight="1" x14ac:dyDescent="0.25">
      <c r="C16" s="129"/>
      <c r="D16" s="128"/>
      <c r="E16" s="128"/>
      <c r="F16" s="128"/>
      <c r="G16" s="128"/>
      <c r="H16" s="128"/>
      <c r="I16" s="128"/>
      <c r="J16" s="128"/>
      <c r="K16" s="128"/>
      <c r="L16" s="127"/>
      <c r="M16" s="127"/>
      <c r="N16" s="127"/>
    </row>
    <row r="17" spans="2:15" ht="17.45" customHeight="1" x14ac:dyDescent="0.25">
      <c r="B17" s="130" t="s">
        <v>100</v>
      </c>
      <c r="C17" s="131">
        <f>C18+C19</f>
        <v>1</v>
      </c>
      <c r="D17" s="132">
        <f>+'Annex 2. Prices 2024'!F13</f>
        <v>-7506.33</v>
      </c>
      <c r="J17" s="133"/>
      <c r="K17" s="133"/>
    </row>
    <row r="18" spans="2:15" ht="41.25" customHeight="1" x14ac:dyDescent="0.25">
      <c r="B18" s="134" t="s">
        <v>101</v>
      </c>
      <c r="C18" s="135">
        <f>1-C19</f>
        <v>0.44776225309573325</v>
      </c>
      <c r="D18" s="136">
        <f>C18*$D$17</f>
        <v>-3361.0512332800954</v>
      </c>
      <c r="J18" s="133"/>
      <c r="K18" s="133"/>
    </row>
    <row r="19" spans="2:15" ht="14.45" customHeight="1" x14ac:dyDescent="0.25">
      <c r="B19" s="134" t="s">
        <v>102</v>
      </c>
      <c r="C19" s="135">
        <f>+'Annex 2. Prices 2024'!F44</f>
        <v>0.55223774690426675</v>
      </c>
      <c r="D19" s="136">
        <f>C19*$D$17</f>
        <v>-4145.2787667199045</v>
      </c>
      <c r="J19" s="133"/>
      <c r="K19" s="133"/>
    </row>
    <row r="20" spans="2:15" x14ac:dyDescent="0.25">
      <c r="B20" s="160"/>
      <c r="C20" s="161"/>
      <c r="D20" s="161"/>
      <c r="E20" s="161"/>
      <c r="F20" s="161"/>
      <c r="G20" s="161"/>
      <c r="H20" s="161"/>
      <c r="I20" s="162"/>
      <c r="J20" s="161"/>
      <c r="K20" s="161"/>
      <c r="L20" s="161"/>
      <c r="M20" s="161"/>
      <c r="N20" s="128"/>
      <c r="O20" s="128"/>
    </row>
    <row r="21" spans="2:15" x14ac:dyDescent="0.25">
      <c r="B21" s="93" t="s">
        <v>166</v>
      </c>
      <c r="C21" s="128"/>
      <c r="D21" s="161"/>
      <c r="E21" s="161"/>
      <c r="F21" s="161"/>
      <c r="G21" s="161"/>
      <c r="H21" s="161"/>
      <c r="I21" s="162"/>
      <c r="J21" s="161"/>
      <c r="K21" s="161"/>
      <c r="L21" s="161"/>
      <c r="M21" s="161"/>
      <c r="N21" s="128"/>
      <c r="O21" s="128"/>
    </row>
    <row r="22" spans="2:15" x14ac:dyDescent="0.25">
      <c r="B22" t="s">
        <v>167</v>
      </c>
      <c r="C22" s="173">
        <f>'Annex 2. Prices 2024'!F20</f>
        <v>498.5001323380468</v>
      </c>
      <c r="D22" s="161"/>
      <c r="E22" s="161"/>
      <c r="F22" s="161"/>
      <c r="G22" s="161"/>
      <c r="H22" s="161"/>
      <c r="I22" s="162"/>
      <c r="J22" s="161"/>
      <c r="K22" s="161"/>
      <c r="L22" s="161"/>
      <c r="M22" s="161"/>
      <c r="N22" s="128"/>
      <c r="O22" s="128"/>
    </row>
    <row r="23" spans="2:15" x14ac:dyDescent="0.25">
      <c r="B23" s="691" t="s">
        <v>103</v>
      </c>
      <c r="C23" s="692"/>
      <c r="D23" s="161"/>
      <c r="E23" s="161"/>
      <c r="F23" s="161"/>
      <c r="G23" s="161"/>
      <c r="H23" s="161"/>
      <c r="I23" s="162"/>
      <c r="J23" s="161"/>
      <c r="K23" s="161"/>
      <c r="L23" s="161"/>
      <c r="M23" s="161"/>
      <c r="N23" s="128"/>
      <c r="O23" s="128"/>
    </row>
    <row r="24" spans="2:15" x14ac:dyDescent="0.25">
      <c r="B24" s="174" t="s">
        <v>104</v>
      </c>
      <c r="C24" s="173">
        <f>+'Annex 2. Prices 2024'!F17</f>
        <v>187.81965393157734</v>
      </c>
      <c r="D24" s="161"/>
      <c r="E24" s="161"/>
      <c r="F24" s="161"/>
      <c r="G24" s="161"/>
      <c r="H24" s="161"/>
      <c r="I24" s="162"/>
      <c r="J24" s="161"/>
      <c r="K24" s="161"/>
      <c r="L24" s="161"/>
      <c r="M24" s="161"/>
      <c r="N24" s="128"/>
      <c r="O24" s="128"/>
    </row>
    <row r="25" spans="2:15" x14ac:dyDescent="0.25">
      <c r="B25" s="174" t="s">
        <v>134</v>
      </c>
      <c r="C25" s="173">
        <f>'Annex 2. Prices 2024'!F18</f>
        <v>310.68047840646955</v>
      </c>
      <c r="D25" s="161"/>
      <c r="E25" s="161"/>
      <c r="F25" s="161"/>
      <c r="G25" s="161"/>
      <c r="H25" s="161"/>
      <c r="I25" s="162"/>
      <c r="J25" s="161"/>
      <c r="K25" s="161"/>
      <c r="L25" s="161"/>
      <c r="M25" s="161"/>
      <c r="N25" s="128"/>
      <c r="O25" s="128"/>
    </row>
    <row r="26" spans="2:15" x14ac:dyDescent="0.25">
      <c r="B26" s="174" t="s">
        <v>133</v>
      </c>
      <c r="C26" s="173">
        <f>+'Annex 2. Prices 2024'!F19</f>
        <v>-498.5001323380468</v>
      </c>
      <c r="D26" s="161"/>
      <c r="E26" s="161"/>
      <c r="F26" s="161"/>
      <c r="G26" s="161"/>
      <c r="H26" s="161"/>
      <c r="I26" s="162"/>
      <c r="J26" s="161"/>
      <c r="K26" s="161"/>
      <c r="L26" s="161"/>
      <c r="M26" s="161"/>
      <c r="N26" s="128"/>
      <c r="O26" s="128"/>
    </row>
    <row r="27" spans="2:15" x14ac:dyDescent="0.25">
      <c r="B27" s="161"/>
      <c r="C27" s="161"/>
      <c r="D27" s="161"/>
      <c r="E27" s="161"/>
      <c r="F27" s="161"/>
      <c r="G27" s="161"/>
      <c r="H27" s="161"/>
      <c r="I27" s="162"/>
      <c r="J27" s="161"/>
      <c r="K27" s="161"/>
      <c r="L27" s="161"/>
      <c r="M27" s="161"/>
      <c r="N27" s="128"/>
      <c r="O27" s="128"/>
    </row>
    <row r="28" spans="2:15" x14ac:dyDescent="0.25">
      <c r="B28" s="160"/>
      <c r="C28" s="161"/>
      <c r="D28" s="161"/>
      <c r="E28" s="161"/>
      <c r="F28" s="161"/>
      <c r="G28" s="161"/>
      <c r="H28" s="161"/>
      <c r="I28" s="162"/>
      <c r="J28" s="161"/>
      <c r="K28" s="161"/>
      <c r="L28" s="161"/>
      <c r="M28" s="161"/>
      <c r="N28" s="128"/>
      <c r="O28" s="128"/>
    </row>
    <row r="29" spans="2:15" x14ac:dyDescent="0.25">
      <c r="B29" s="93" t="s">
        <v>168</v>
      </c>
      <c r="C29" s="128"/>
      <c r="D29" s="128"/>
    </row>
    <row r="30" spans="2:15" x14ac:dyDescent="0.25">
      <c r="B30" s="93"/>
      <c r="C30" s="128"/>
      <c r="D30" s="128"/>
    </row>
    <row r="31" spans="2:15" ht="25.5" x14ac:dyDescent="0.25">
      <c r="B31" s="174" t="s">
        <v>140</v>
      </c>
      <c r="C31" s="135">
        <f>+'Annex 2. Prices 2024'!F37</f>
        <v>0.7</v>
      </c>
    </row>
    <row r="32" spans="2:15" ht="44.25" customHeight="1" x14ac:dyDescent="0.25">
      <c r="B32" s="174" t="s">
        <v>139</v>
      </c>
      <c r="C32" s="135">
        <f>1-C31</f>
        <v>0.30000000000000004</v>
      </c>
    </row>
    <row r="33" spans="2:14" x14ac:dyDescent="0.25">
      <c r="B33" s="93"/>
      <c r="C33" s="128"/>
      <c r="D33" s="128"/>
    </row>
    <row r="34" spans="2:14" ht="88.5" customHeight="1" x14ac:dyDescent="0.25">
      <c r="B34" s="137"/>
      <c r="C34" s="138" t="s">
        <v>105</v>
      </c>
      <c r="D34" s="138" t="s">
        <v>106</v>
      </c>
      <c r="E34" s="138" t="s">
        <v>141</v>
      </c>
      <c r="F34" s="138" t="s">
        <v>143</v>
      </c>
      <c r="G34" s="490"/>
    </row>
    <row r="35" spans="2:14" ht="15.6" customHeight="1" x14ac:dyDescent="0.25">
      <c r="B35" s="139" t="s">
        <v>126</v>
      </c>
      <c r="C35" s="140">
        <f>+C36+C37</f>
        <v>13450.532650347319</v>
      </c>
      <c r="D35" s="140">
        <f>C35+D19</f>
        <v>9305.2538836274143</v>
      </c>
      <c r="E35" s="140">
        <f>+E36+E37</f>
        <v>6513.6777185391893</v>
      </c>
      <c r="F35" s="140">
        <f>+F36+F37</f>
        <v>2791.576165088225</v>
      </c>
      <c r="G35" s="165"/>
    </row>
    <row r="36" spans="2:14" ht="27.6" customHeight="1" x14ac:dyDescent="0.25">
      <c r="B36" s="118" t="s">
        <v>127</v>
      </c>
      <c r="C36" s="123">
        <f>+'Annex 2. Prices 2024'!F30</f>
        <v>12705.450548823683</v>
      </c>
      <c r="D36" s="123">
        <f>C36/$C$35*$D$35</f>
        <v>8789.7963698578715</v>
      </c>
      <c r="E36" s="123">
        <f>+D36*0.7</f>
        <v>6152.8574589005093</v>
      </c>
      <c r="F36" s="123">
        <f>+D36-E36</f>
        <v>2636.9389109573622</v>
      </c>
      <c r="G36" s="162"/>
    </row>
    <row r="37" spans="2:14" ht="28.35" customHeight="1" x14ac:dyDescent="0.25">
      <c r="B37" s="118" t="s">
        <v>128</v>
      </c>
      <c r="C37" s="123">
        <f>+'Annex 2. Prices 2024'!F29</f>
        <v>745.08210152363677</v>
      </c>
      <c r="D37" s="119">
        <f>C37/$C$35*$D$35</f>
        <v>515.45751376954343</v>
      </c>
      <c r="E37" s="119">
        <f>+D37*0.7</f>
        <v>360.8202596386804</v>
      </c>
      <c r="F37" s="119">
        <f>+D37-E37</f>
        <v>154.63725413086303</v>
      </c>
      <c r="G37" s="128"/>
    </row>
    <row r="38" spans="2:14" x14ac:dyDescent="0.25">
      <c r="B38" s="93"/>
      <c r="C38" s="128"/>
      <c r="D38" s="128"/>
    </row>
    <row r="39" spans="2:14" ht="28.35" customHeight="1" x14ac:dyDescent="0.25">
      <c r="B39" s="93" t="s">
        <v>169</v>
      </c>
    </row>
    <row r="40" spans="2:14" ht="90" x14ac:dyDescent="0.25">
      <c r="B40" s="693"/>
      <c r="C40" s="114" t="s">
        <v>108</v>
      </c>
      <c r="D40" s="114" t="s">
        <v>93</v>
      </c>
      <c r="E40" s="114" t="s">
        <v>94</v>
      </c>
      <c r="F40" s="114" t="s">
        <v>123</v>
      </c>
      <c r="G40" s="114" t="s">
        <v>172</v>
      </c>
      <c r="H40" s="114" t="s">
        <v>95</v>
      </c>
      <c r="I40" s="114" t="s">
        <v>124</v>
      </c>
      <c r="J40" s="114" t="s">
        <v>127</v>
      </c>
      <c r="K40" s="114" t="s">
        <v>128</v>
      </c>
      <c r="L40" s="114" t="s">
        <v>92</v>
      </c>
      <c r="M40" s="114" t="s">
        <v>96</v>
      </c>
      <c r="N40" s="687" t="s">
        <v>29</v>
      </c>
    </row>
    <row r="41" spans="2:14" ht="32.25" customHeight="1" x14ac:dyDescent="0.25">
      <c r="B41" s="694"/>
      <c r="C41" s="655" t="s">
        <v>109</v>
      </c>
      <c r="D41" s="656"/>
      <c r="E41" s="656"/>
      <c r="F41" s="656"/>
      <c r="G41" s="656"/>
      <c r="H41" s="656"/>
      <c r="I41" s="656"/>
      <c r="J41" s="656"/>
      <c r="K41" s="657"/>
      <c r="L41" s="687" t="s">
        <v>110</v>
      </c>
      <c r="M41" s="687"/>
      <c r="N41" s="687"/>
    </row>
    <row r="42" spans="2:14" x14ac:dyDescent="0.25">
      <c r="B42" s="695"/>
      <c r="C42" s="655" t="s">
        <v>111</v>
      </c>
      <c r="D42" s="656"/>
      <c r="E42" s="656"/>
      <c r="F42" s="656"/>
      <c r="G42" s="657"/>
      <c r="H42" s="655" t="s">
        <v>112</v>
      </c>
      <c r="I42" s="656"/>
      <c r="J42" s="656"/>
      <c r="K42" s="657"/>
      <c r="L42" s="114" t="s">
        <v>30</v>
      </c>
      <c r="M42" s="114" t="s">
        <v>31</v>
      </c>
      <c r="N42" s="687"/>
    </row>
    <row r="43" spans="2:14" x14ac:dyDescent="0.25">
      <c r="B43" s="118" t="s">
        <v>113</v>
      </c>
      <c r="C43" s="661">
        <f>+'Annex 2. Prices 2024'!F26-'Annex 2. Prices 2024'!F27+-I13-K13-L13-M13</f>
        <v>35716.418347190658</v>
      </c>
      <c r="D43" s="662"/>
      <c r="E43" s="662"/>
      <c r="F43" s="662"/>
      <c r="G43" s="662"/>
      <c r="H43" s="662"/>
      <c r="I43" s="662"/>
      <c r="J43" s="662"/>
      <c r="K43" s="663"/>
      <c r="L43" s="658">
        <f>+'Annex 2. Prices 2024'!F27-'2pr. pagr. duom. kn skaiciuoti'!J13</f>
        <v>8355.126062076266</v>
      </c>
      <c r="M43" s="658"/>
      <c r="N43" s="119">
        <f>C43+L43</f>
        <v>44071.54440926692</v>
      </c>
    </row>
    <row r="44" spans="2:14" ht="30" x14ac:dyDescent="0.25">
      <c r="B44" s="145" t="s">
        <v>114</v>
      </c>
      <c r="C44" s="664">
        <f>+'Annex 2. Prices 2024'!F75</f>
        <v>0.61603965371941027</v>
      </c>
      <c r="D44" s="665"/>
      <c r="E44" s="665"/>
      <c r="F44" s="665"/>
      <c r="G44" s="666"/>
      <c r="H44" s="664">
        <f>1-C44</f>
        <v>0.38396034628058973</v>
      </c>
      <c r="I44" s="665"/>
      <c r="J44" s="665"/>
      <c r="K44" s="666"/>
      <c r="L44" s="146">
        <f>'Annex 2. Prices 2024'!F122*L46/1000/L43</f>
        <v>0.46999075427764092</v>
      </c>
      <c r="M44" s="146">
        <f>1-L44</f>
        <v>0.53000924572235908</v>
      </c>
      <c r="N44" s="147"/>
    </row>
    <row r="45" spans="2:14" ht="28.35" customHeight="1" x14ac:dyDescent="0.25">
      <c r="B45" s="145" t="s">
        <v>115</v>
      </c>
      <c r="C45" s="667">
        <f>C43*C44</f>
        <v>22002.729990700926</v>
      </c>
      <c r="D45" s="668"/>
      <c r="E45" s="668"/>
      <c r="F45" s="668"/>
      <c r="G45" s="669"/>
      <c r="H45" s="667">
        <f>C43*H44</f>
        <v>13713.688356489733</v>
      </c>
      <c r="I45" s="668"/>
      <c r="J45" s="668"/>
      <c r="K45" s="669"/>
      <c r="L45" s="659">
        <f>L43</f>
        <v>8355.126062076266</v>
      </c>
      <c r="M45" s="660"/>
      <c r="N45" s="148">
        <f>C45+H45+L45</f>
        <v>44071.54440926692</v>
      </c>
    </row>
    <row r="46" spans="2:14" ht="28.35" customHeight="1" x14ac:dyDescent="0.25">
      <c r="B46" s="145" t="s">
        <v>116</v>
      </c>
      <c r="C46" s="168">
        <f>+'Annex 2. Prices 2024'!F91</f>
        <v>0</v>
      </c>
      <c r="D46" s="168">
        <f>+'Annex 2. Prices 2024'!F93</f>
        <v>11617.340034991219</v>
      </c>
      <c r="E46" s="168">
        <f>+'Annex 2. Prices 2024'!F94</f>
        <v>126356.46223819369</v>
      </c>
      <c r="F46" s="168">
        <f>+'Annex 2. Prices 2024'!F95</f>
        <v>16139.316524528731</v>
      </c>
      <c r="G46" s="168">
        <f>+'Annex 2. Prices 2024'!F92</f>
        <v>0</v>
      </c>
      <c r="H46" s="149">
        <f>+'Annex 2. Prices 2024'!F98</f>
        <v>30365.95917731474</v>
      </c>
      <c r="I46" s="149">
        <f>+'Annex 2. Prices 2024'!F99</f>
        <v>50229.624679834153</v>
      </c>
      <c r="J46" s="149">
        <f>+'Annex 2. Prices 2024'!F102</f>
        <v>63800.046672118144</v>
      </c>
      <c r="K46" s="149">
        <f>+'Annex 2. Prices 2024'!F103</f>
        <v>42000</v>
      </c>
      <c r="L46" s="150">
        <f>'Annex 2. Prices 2024'!F100</f>
        <v>109200</v>
      </c>
      <c r="M46" s="150">
        <f>'Annex 2. Prices 2024'!F100</f>
        <v>109200</v>
      </c>
      <c r="N46" s="147"/>
    </row>
    <row r="47" spans="2:14" x14ac:dyDescent="0.25">
      <c r="B47" s="118" t="s">
        <v>138</v>
      </c>
      <c r="C47" s="654">
        <f>C45/(C46+D46+E46+F46)*1000</f>
        <v>142.77000012945913</v>
      </c>
      <c r="D47" s="654"/>
      <c r="E47" s="654"/>
      <c r="F47" s="654"/>
      <c r="G47" s="491"/>
      <c r="H47" s="670">
        <f>H45/(H46+J46+I46+K46)*1000</f>
        <v>73.573014118141927</v>
      </c>
      <c r="I47" s="671"/>
      <c r="J47" s="671"/>
      <c r="K47" s="672"/>
      <c r="L47" s="151"/>
      <c r="M47" s="151"/>
      <c r="N47" s="137"/>
    </row>
    <row r="48" spans="2:14" ht="28.35" customHeight="1" x14ac:dyDescent="0.25">
      <c r="B48" s="145" t="s">
        <v>117</v>
      </c>
      <c r="C48" s="168">
        <f>C46*$C$47/1000</f>
        <v>0</v>
      </c>
      <c r="D48" s="168">
        <f>D46*$C$47/1000</f>
        <v>1658.6076382996671</v>
      </c>
      <c r="E48" s="168">
        <f>E46*$C$47/1000</f>
        <v>18039.912130104909</v>
      </c>
      <c r="F48" s="168">
        <f>F46*$C$47/1000</f>
        <v>2304.2102222963485</v>
      </c>
      <c r="G48" s="168">
        <f>G46*$C$47/1000</f>
        <v>0</v>
      </c>
      <c r="H48" s="120">
        <f>H46*$H$47/1000</f>
        <v>2234.1151432634988</v>
      </c>
      <c r="I48" s="120">
        <f>I46*$H$47/1000</f>
        <v>3695.5448857184083</v>
      </c>
      <c r="J48" s="120">
        <f>(J46)*$H$47/1000</f>
        <v>4693.9617345458619</v>
      </c>
      <c r="K48" s="120">
        <f>(K46)*$H$47/1000</f>
        <v>3090.0665929619609</v>
      </c>
      <c r="L48" s="150">
        <f>$L$45*L44</f>
        <v>3926.8319999999999</v>
      </c>
      <c r="M48" s="150">
        <f>$L$45*M44</f>
        <v>4428.2940620762656</v>
      </c>
      <c r="N48" s="120">
        <f>SUM(C48:M48)</f>
        <v>44071.544409266928</v>
      </c>
    </row>
    <row r="49" spans="2:25" x14ac:dyDescent="0.25">
      <c r="B49" s="115" t="s">
        <v>138</v>
      </c>
      <c r="C49" s="152">
        <f>C47</f>
        <v>142.77000012945913</v>
      </c>
      <c r="D49" s="152">
        <f>C47</f>
        <v>142.77000012945913</v>
      </c>
      <c r="E49" s="152">
        <f>C47*(1-'Annex 2. Prices 2024'!F82)</f>
        <v>142.77000012945913</v>
      </c>
      <c r="F49" s="152">
        <f>+C47</f>
        <v>142.77000012945913</v>
      </c>
      <c r="G49" s="152">
        <f>+C47</f>
        <v>142.77000012945913</v>
      </c>
      <c r="H49" s="153">
        <f>H48/H46*1000</f>
        <v>73.573014118141927</v>
      </c>
      <c r="I49" s="153">
        <f>I48/I46*1000</f>
        <v>73.573014118141927</v>
      </c>
      <c r="J49" s="153">
        <f>J48/(J46)*1000</f>
        <v>73.573014118141913</v>
      </c>
      <c r="K49" s="153">
        <f>K48/(K46)*1000</f>
        <v>73.573014118141913</v>
      </c>
      <c r="L49" s="153">
        <f>L48/L46*1000</f>
        <v>35.96</v>
      </c>
      <c r="M49" s="153">
        <f>M48/M46*1000</f>
        <v>40.552143425606829</v>
      </c>
      <c r="N49" s="154"/>
    </row>
    <row r="50" spans="2:25" ht="45" x14ac:dyDescent="0.25">
      <c r="B50" s="193" t="s">
        <v>118</v>
      </c>
      <c r="C50" s="125">
        <f>C48</f>
        <v>0</v>
      </c>
      <c r="D50" s="125">
        <f t="shared" ref="D50:E50" si="0">D48</f>
        <v>1658.6076382996671</v>
      </c>
      <c r="E50" s="125">
        <f t="shared" si="0"/>
        <v>18039.912130104909</v>
      </c>
      <c r="F50" s="125">
        <f>F48</f>
        <v>2304.2102222963485</v>
      </c>
      <c r="G50" s="125">
        <f>G48</f>
        <v>0</v>
      </c>
      <c r="H50" s="125">
        <f>H48+C24</f>
        <v>2421.934797195076</v>
      </c>
      <c r="I50" s="125">
        <f>I48+C25</f>
        <v>4006.2253641248781</v>
      </c>
      <c r="J50" s="125">
        <f>J48+((C26*J46)/(J46+K46))</f>
        <v>4393.35381697293</v>
      </c>
      <c r="K50" s="125">
        <f>K48+((C26*K46)/(J46+K46))</f>
        <v>2892.1743781968462</v>
      </c>
      <c r="L50" s="125">
        <f>L48</f>
        <v>3926.8319999999999</v>
      </c>
      <c r="M50" s="125">
        <f>M48</f>
        <v>4428.2940620762656</v>
      </c>
      <c r="N50" s="120">
        <f>SUM(C50:M50)</f>
        <v>44071.544409266928</v>
      </c>
    </row>
    <row r="51" spans="2:25" ht="45" x14ac:dyDescent="0.25">
      <c r="B51" s="115" t="s">
        <v>147</v>
      </c>
      <c r="C51" s="152">
        <f>C49</f>
        <v>142.77000012945913</v>
      </c>
      <c r="D51" s="152">
        <f t="shared" ref="D51:G51" si="1">D49</f>
        <v>142.77000012945913</v>
      </c>
      <c r="E51" s="152">
        <f>E49</f>
        <v>142.77000012945913</v>
      </c>
      <c r="F51" s="152">
        <f t="shared" si="1"/>
        <v>142.77000012945913</v>
      </c>
      <c r="G51" s="152">
        <f t="shared" si="1"/>
        <v>142.77000012945913</v>
      </c>
      <c r="H51" s="152">
        <f>H50/H46*1000</f>
        <v>79.75821817624032</v>
      </c>
      <c r="I51" s="152">
        <f>I50/I46*1000</f>
        <v>79.758218176240334</v>
      </c>
      <c r="J51" s="152">
        <f t="shared" ref="J51:K51" si="2">J50/J46*1000</f>
        <v>68.86129471897253</v>
      </c>
      <c r="K51" s="152">
        <f t="shared" si="2"/>
        <v>68.86129471897253</v>
      </c>
      <c r="L51" s="152">
        <f t="shared" ref="L51:M52" si="3">L49</f>
        <v>35.96</v>
      </c>
      <c r="M51" s="152">
        <f t="shared" si="3"/>
        <v>40.552143425606829</v>
      </c>
      <c r="N51" s="154"/>
    </row>
    <row r="52" spans="2:25" ht="30" x14ac:dyDescent="0.25">
      <c r="B52" s="145" t="s">
        <v>119</v>
      </c>
      <c r="C52" s="125">
        <f>C50</f>
        <v>0</v>
      </c>
      <c r="D52" s="125">
        <f t="shared" ref="D52:G52" si="4">D50</f>
        <v>1658.6076382996671</v>
      </c>
      <c r="E52" s="125">
        <f t="shared" si="4"/>
        <v>18039.912130104909</v>
      </c>
      <c r="F52" s="125">
        <f t="shared" si="4"/>
        <v>2304.2102222963485</v>
      </c>
      <c r="G52" s="125">
        <f t="shared" si="4"/>
        <v>0</v>
      </c>
      <c r="H52" s="125">
        <f>H50</f>
        <v>2421.934797195076</v>
      </c>
      <c r="I52" s="125">
        <f>I50</f>
        <v>4006.2253641248781</v>
      </c>
      <c r="J52" s="125">
        <f>J50+((D18*J46)/(J46+K46))</f>
        <v>2366.556737996204</v>
      </c>
      <c r="K52" s="125">
        <f>K50+((D18*K46)/(J46+K46))</f>
        <v>1557.9202238934768</v>
      </c>
      <c r="L52" s="125">
        <f t="shared" si="3"/>
        <v>3926.8319999999999</v>
      </c>
      <c r="M52" s="125">
        <f t="shared" si="3"/>
        <v>4428.2940620762656</v>
      </c>
      <c r="N52" s="120">
        <f>SUM(C52:M52)</f>
        <v>40710.493175986834</v>
      </c>
    </row>
    <row r="53" spans="2:25" ht="45" x14ac:dyDescent="0.25">
      <c r="B53" s="121" t="s">
        <v>142</v>
      </c>
      <c r="C53" s="155">
        <f>IFERROR(C52/C46*1000,142.77)</f>
        <v>142.77000000000001</v>
      </c>
      <c r="D53" s="155">
        <f t="shared" ref="D53:I53" si="5">D52/D46*1000</f>
        <v>142.77000012945911</v>
      </c>
      <c r="E53" s="155">
        <f t="shared" si="5"/>
        <v>142.77000012945911</v>
      </c>
      <c r="F53" s="155">
        <f t="shared" si="5"/>
        <v>142.77000012945911</v>
      </c>
      <c r="G53" s="155">
        <f>IFERROR(G52/G46*1000,142.77)</f>
        <v>142.77000000000001</v>
      </c>
      <c r="H53" s="155">
        <f t="shared" si="5"/>
        <v>79.75821817624032</v>
      </c>
      <c r="I53" s="155">
        <f t="shared" si="5"/>
        <v>79.758218176240334</v>
      </c>
      <c r="J53" s="155">
        <f>J52/(J46)*1000</f>
        <v>37.0933386641304</v>
      </c>
      <c r="K53" s="155">
        <f>K52/(K46)*1000</f>
        <v>37.0933386641304</v>
      </c>
      <c r="L53" s="155">
        <f>L52/L46*1000</f>
        <v>35.96</v>
      </c>
      <c r="M53" s="155">
        <f>M52/M46*1000</f>
        <v>40.552143425606829</v>
      </c>
      <c r="N53" s="156"/>
    </row>
    <row r="54" spans="2:25" x14ac:dyDescent="0.25">
      <c r="B54" s="145" t="s">
        <v>130</v>
      </c>
      <c r="C54" s="652"/>
      <c r="D54" s="676"/>
      <c r="E54" s="676"/>
      <c r="F54" s="676"/>
      <c r="G54" s="653"/>
      <c r="H54" s="673">
        <f>+'Annex 2. Prices 2024'!F14</f>
        <v>5500</v>
      </c>
      <c r="I54" s="674"/>
      <c r="J54" s="674"/>
      <c r="K54" s="675"/>
      <c r="L54" s="652"/>
      <c r="M54" s="653"/>
      <c r="N54" s="125">
        <f>+H54</f>
        <v>5500</v>
      </c>
    </row>
    <row r="55" spans="2:25" x14ac:dyDescent="0.25">
      <c r="B55" s="170" t="s">
        <v>131</v>
      </c>
      <c r="C55" s="652"/>
      <c r="D55" s="676"/>
      <c r="E55" s="676"/>
      <c r="F55" s="676"/>
      <c r="G55" s="653"/>
      <c r="H55" s="125">
        <f>+H54*H46/(H46+J46+I46+K46)</f>
        <v>896.01228849089057</v>
      </c>
      <c r="I55" s="125">
        <f>+H54*I46/(H46+J46+I46+K46)</f>
        <v>1482.1320379380363</v>
      </c>
      <c r="J55" s="125">
        <f>+H54*J46/(H46+J46+I46+K46)</f>
        <v>1882.5562364325538</v>
      </c>
      <c r="K55" s="125">
        <f>+H54*K46/(H46+J46+I46+K46)</f>
        <v>1239.2994371385191</v>
      </c>
      <c r="L55" s="652"/>
      <c r="M55" s="653"/>
      <c r="N55" s="125">
        <f>+J55+I55+H55+K55</f>
        <v>5500</v>
      </c>
    </row>
    <row r="56" spans="2:25" ht="30" x14ac:dyDescent="0.25">
      <c r="B56" s="193" t="s">
        <v>144</v>
      </c>
      <c r="C56" s="125"/>
      <c r="D56" s="125"/>
      <c r="E56" s="125"/>
      <c r="F56" s="125"/>
      <c r="G56" s="125"/>
      <c r="H56" s="125"/>
      <c r="I56" s="125"/>
      <c r="J56" s="125">
        <f>+F36</f>
        <v>2636.9389109573622</v>
      </c>
      <c r="K56" s="125">
        <f>+F37</f>
        <v>154.63725413086303</v>
      </c>
      <c r="L56" s="125"/>
      <c r="M56" s="125"/>
      <c r="N56" s="120"/>
    </row>
    <row r="57" spans="2:25" ht="30" x14ac:dyDescent="0.25">
      <c r="B57" s="170" t="s">
        <v>132</v>
      </c>
      <c r="C57" s="125">
        <f>+C52+C56</f>
        <v>0</v>
      </c>
      <c r="D57" s="125">
        <f t="shared" ref="D57" si="6">+D52+D56</f>
        <v>1658.6076382996671</v>
      </c>
      <c r="E57" s="125">
        <f>+E52+E56</f>
        <v>18039.912130104909</v>
      </c>
      <c r="F57" s="125">
        <f>+F52+F56</f>
        <v>2304.2102222963485</v>
      </c>
      <c r="G57" s="125">
        <f>+G52+G56</f>
        <v>0</v>
      </c>
      <c r="H57" s="125">
        <f>+H52+H55</f>
        <v>3317.9470856859666</v>
      </c>
      <c r="I57" s="125">
        <f t="shared" ref="I57:M57" si="7">+I52+I55</f>
        <v>5488.3574020629148</v>
      </c>
      <c r="J57" s="125">
        <f t="shared" si="7"/>
        <v>4249.1129744287573</v>
      </c>
      <c r="K57" s="125">
        <f t="shared" si="7"/>
        <v>2797.2196610319961</v>
      </c>
      <c r="L57" s="125">
        <f t="shared" si="7"/>
        <v>3926.8319999999999</v>
      </c>
      <c r="M57" s="125">
        <f t="shared" si="7"/>
        <v>4428.2940620762656</v>
      </c>
      <c r="N57" s="120">
        <f>SUM(C57:M57)</f>
        <v>46210.493175986827</v>
      </c>
      <c r="P57" s="4"/>
    </row>
    <row r="58" spans="2:25" ht="45" x14ac:dyDescent="0.25">
      <c r="B58" s="337" t="s">
        <v>149</v>
      </c>
      <c r="C58" s="125">
        <f>+C57+C56</f>
        <v>0</v>
      </c>
      <c r="D58" s="125">
        <f t="shared" ref="D58:E58" si="8">+D57+D56</f>
        <v>1658.6076382996671</v>
      </c>
      <c r="E58" s="125">
        <f t="shared" si="8"/>
        <v>18039.912130104909</v>
      </c>
      <c r="F58" s="125">
        <f>+F57+F56</f>
        <v>2304.2102222963485</v>
      </c>
      <c r="G58" s="125">
        <f>+G57+G56</f>
        <v>0</v>
      </c>
      <c r="H58" s="125">
        <f t="shared" ref="H58:M58" si="9">+H57+H56</f>
        <v>3317.9470856859666</v>
      </c>
      <c r="I58" s="125">
        <f t="shared" si="9"/>
        <v>5488.3574020629148</v>
      </c>
      <c r="J58" s="125">
        <f t="shared" si="9"/>
        <v>6886.0518853861195</v>
      </c>
      <c r="K58" s="125">
        <f t="shared" si="9"/>
        <v>2951.856915162859</v>
      </c>
      <c r="L58" s="125">
        <f t="shared" si="9"/>
        <v>3926.8319999999999</v>
      </c>
      <c r="M58" s="125">
        <f t="shared" si="9"/>
        <v>4428.2940620762656</v>
      </c>
      <c r="N58" s="120">
        <f>SUM(C58:M58)</f>
        <v>49002.069341075061</v>
      </c>
      <c r="P58" s="4"/>
    </row>
    <row r="59" spans="2:25" ht="60" x14ac:dyDescent="0.25">
      <c r="B59" s="121" t="s">
        <v>148</v>
      </c>
      <c r="C59" s="155">
        <f>IFERROR(C58/C46*1000,142.77)</f>
        <v>142.77000000000001</v>
      </c>
      <c r="D59" s="155">
        <f>+D58/D46*1000</f>
        <v>142.77000012945911</v>
      </c>
      <c r="E59" s="155">
        <f t="shared" ref="E59:F59" si="10">+E58/E46*1000</f>
        <v>142.77000012945911</v>
      </c>
      <c r="F59" s="155">
        <f t="shared" si="10"/>
        <v>142.77000012945911</v>
      </c>
      <c r="G59" s="155">
        <f>IFERROR(G58/G46*1000,142.77)</f>
        <v>142.77000000000001</v>
      </c>
      <c r="H59" s="155">
        <f>+H58/H46*1000</f>
        <v>109.26534763191935</v>
      </c>
      <c r="I59" s="155">
        <f>+I58/I46*1000</f>
        <v>109.26534763191937</v>
      </c>
      <c r="J59" s="155">
        <f>+J58/J46*1000</f>
        <v>107.93176877714507</v>
      </c>
      <c r="K59" s="155">
        <f>+K58/K46*1000</f>
        <v>70.28230750387759</v>
      </c>
      <c r="L59" s="155">
        <f>+L53</f>
        <v>35.96</v>
      </c>
      <c r="M59" s="155">
        <f>+M53</f>
        <v>40.552143425606829</v>
      </c>
      <c r="N59" s="156"/>
    </row>
    <row r="60" spans="2:25" x14ac:dyDescent="0.25">
      <c r="C60" s="112"/>
      <c r="D60" s="112"/>
      <c r="E60" s="112"/>
      <c r="H60" s="101"/>
      <c r="I60" s="101"/>
      <c r="J60" s="101"/>
      <c r="K60" s="101"/>
      <c r="L60" s="101"/>
      <c r="M60" s="101"/>
    </row>
    <row r="61" spans="2:25" x14ac:dyDescent="0.25">
      <c r="B61" s="93" t="s">
        <v>170</v>
      </c>
    </row>
    <row r="62" spans="2:25" ht="28.7" customHeight="1" x14ac:dyDescent="0.25">
      <c r="B62" s="677" t="s">
        <v>120</v>
      </c>
      <c r="C62" s="649" t="s">
        <v>88</v>
      </c>
      <c r="D62" s="650"/>
      <c r="E62" s="650"/>
      <c r="F62" s="650"/>
      <c r="G62" s="650"/>
      <c r="H62" s="650"/>
      <c r="I62" s="650"/>
      <c r="J62" s="650"/>
      <c r="K62" s="650"/>
      <c r="L62" s="650"/>
      <c r="M62" s="650"/>
      <c r="N62" s="650"/>
      <c r="O62" s="650"/>
      <c r="P62" s="650"/>
      <c r="Q62" s="650"/>
      <c r="R62" s="650"/>
      <c r="S62" s="651"/>
      <c r="T62" s="644" t="s">
        <v>89</v>
      </c>
      <c r="U62" s="644"/>
      <c r="V62" s="644"/>
      <c r="W62" s="644"/>
      <c r="X62" s="644"/>
      <c r="Y62" s="641" t="s">
        <v>121</v>
      </c>
    </row>
    <row r="63" spans="2:25" ht="75" x14ac:dyDescent="0.25">
      <c r="B63" s="678"/>
      <c r="C63" s="113" t="s">
        <v>91</v>
      </c>
      <c r="D63" s="113" t="s">
        <v>92</v>
      </c>
      <c r="E63" s="113" t="s">
        <v>93</v>
      </c>
      <c r="F63" s="113" t="s">
        <v>94</v>
      </c>
      <c r="G63" s="113" t="s">
        <v>123</v>
      </c>
      <c r="H63" s="113" t="s">
        <v>172</v>
      </c>
      <c r="I63" s="644" t="s">
        <v>95</v>
      </c>
      <c r="J63" s="644"/>
      <c r="K63" s="649" t="s">
        <v>96</v>
      </c>
      <c r="L63" s="651"/>
      <c r="M63" s="644" t="s">
        <v>124</v>
      </c>
      <c r="N63" s="644"/>
      <c r="O63" s="644" t="s">
        <v>145</v>
      </c>
      <c r="P63" s="644"/>
      <c r="Q63" s="644" t="s">
        <v>146</v>
      </c>
      <c r="R63" s="644"/>
      <c r="S63" s="641" t="s">
        <v>29</v>
      </c>
      <c r="T63" s="644" t="s">
        <v>126</v>
      </c>
      <c r="U63" s="644"/>
      <c r="V63" s="644"/>
      <c r="W63" s="644"/>
      <c r="X63" s="641" t="s">
        <v>29</v>
      </c>
      <c r="Y63" s="642"/>
    </row>
    <row r="64" spans="2:25" x14ac:dyDescent="0.25">
      <c r="B64" s="678"/>
      <c r="C64" s="647" t="s">
        <v>32</v>
      </c>
      <c r="D64" s="647" t="s">
        <v>32</v>
      </c>
      <c r="E64" s="647" t="s">
        <v>32</v>
      </c>
      <c r="F64" s="647" t="s">
        <v>32</v>
      </c>
      <c r="G64" s="680" t="s">
        <v>32</v>
      </c>
      <c r="H64" s="680" t="s">
        <v>32</v>
      </c>
      <c r="I64" s="647" t="s">
        <v>32</v>
      </c>
      <c r="J64" s="647" t="s">
        <v>33</v>
      </c>
      <c r="K64" s="647" t="s">
        <v>32</v>
      </c>
      <c r="L64" s="647" t="s">
        <v>33</v>
      </c>
      <c r="M64" s="647" t="s">
        <v>32</v>
      </c>
      <c r="N64" s="647" t="s">
        <v>33</v>
      </c>
      <c r="O64" s="647" t="s">
        <v>32</v>
      </c>
      <c r="P64" s="647" t="s">
        <v>33</v>
      </c>
      <c r="Q64" s="647" t="s">
        <v>32</v>
      </c>
      <c r="R64" s="647" t="s">
        <v>33</v>
      </c>
      <c r="S64" s="642"/>
      <c r="T64" s="645" t="s">
        <v>107</v>
      </c>
      <c r="U64" s="646"/>
      <c r="V64" s="645" t="s">
        <v>129</v>
      </c>
      <c r="W64" s="646"/>
      <c r="X64" s="642"/>
      <c r="Y64" s="642"/>
    </row>
    <row r="65" spans="2:25" ht="60" x14ac:dyDescent="0.25">
      <c r="B65" s="679"/>
      <c r="C65" s="648"/>
      <c r="D65" s="648"/>
      <c r="E65" s="648"/>
      <c r="F65" s="648"/>
      <c r="G65" s="648"/>
      <c r="H65" s="648"/>
      <c r="I65" s="648"/>
      <c r="J65" s="648"/>
      <c r="K65" s="648"/>
      <c r="L65" s="648"/>
      <c r="M65" s="648"/>
      <c r="N65" s="648"/>
      <c r="O65" s="648"/>
      <c r="P65" s="648"/>
      <c r="Q65" s="648"/>
      <c r="R65" s="648"/>
      <c r="S65" s="643"/>
      <c r="T65" s="142" t="s">
        <v>127</v>
      </c>
      <c r="U65" s="142" t="s">
        <v>128</v>
      </c>
      <c r="V65" s="142" t="s">
        <v>127</v>
      </c>
      <c r="W65" s="142" t="s">
        <v>128</v>
      </c>
      <c r="X65" s="643"/>
      <c r="Y65" s="643"/>
    </row>
    <row r="66" spans="2:25" ht="14.45" customHeight="1" x14ac:dyDescent="0.25">
      <c r="B66" s="145" t="s">
        <v>97</v>
      </c>
      <c r="C66" s="194">
        <f>C58</f>
        <v>0</v>
      </c>
      <c r="D66" s="143">
        <f>L58</f>
        <v>3926.8319999999999</v>
      </c>
      <c r="E66" s="143">
        <f>D58</f>
        <v>1658.6076382996671</v>
      </c>
      <c r="F66" s="143">
        <f>E58</f>
        <v>18039.912130104909</v>
      </c>
      <c r="G66" s="143">
        <f>F58</f>
        <v>2304.2102222963485</v>
      </c>
      <c r="H66" s="194">
        <f>G58</f>
        <v>0</v>
      </c>
      <c r="I66" s="143">
        <f>H58</f>
        <v>3317.9470856859666</v>
      </c>
      <c r="J66" s="143">
        <f>I13</f>
        <v>1336.54628963804</v>
      </c>
      <c r="K66" s="143">
        <f>M52</f>
        <v>4428.2940620762656</v>
      </c>
      <c r="L66" s="143">
        <f>J13</f>
        <v>4513.0134455310435</v>
      </c>
      <c r="M66" s="143">
        <f>+I58</f>
        <v>5488.3574020629148</v>
      </c>
      <c r="N66" s="143">
        <f>+K13</f>
        <v>1991.6337977887397</v>
      </c>
      <c r="O66" s="143">
        <f>J57</f>
        <v>4249.1129744287573</v>
      </c>
      <c r="P66" s="143">
        <f>+L13</f>
        <v>1756.8580683954426</v>
      </c>
      <c r="Q66" s="143">
        <f>K57</f>
        <v>2797.2196610319961</v>
      </c>
      <c r="R66" s="143">
        <f>+M13</f>
        <v>1897.2013390324871</v>
      </c>
      <c r="S66" s="169">
        <f>SUM(C66:R66)</f>
        <v>57705.746116372575</v>
      </c>
      <c r="T66" s="194">
        <f>+E36</f>
        <v>6152.8574589005093</v>
      </c>
      <c r="U66" s="194">
        <f>+E37</f>
        <v>360.8202596386804</v>
      </c>
      <c r="V66" s="194">
        <f>+J56</f>
        <v>2636.9389109573622</v>
      </c>
      <c r="W66" s="194">
        <f>+K56</f>
        <v>154.63725413086303</v>
      </c>
      <c r="X66" s="144">
        <f>SUM(T66:W66)</f>
        <v>9305.2538836274143</v>
      </c>
      <c r="Y66" s="489">
        <f>S66+X66</f>
        <v>67010.999999999985</v>
      </c>
    </row>
    <row r="67" spans="2:25" ht="18" customHeight="1" x14ac:dyDescent="0.25">
      <c r="B67" s="145" t="s">
        <v>122</v>
      </c>
      <c r="C67" s="125">
        <f>C46</f>
        <v>0</v>
      </c>
      <c r="D67" s="125">
        <f>L46</f>
        <v>109200</v>
      </c>
      <c r="E67" s="125">
        <f>D46</f>
        <v>11617.340034991219</v>
      </c>
      <c r="F67" s="125">
        <f>E46</f>
        <v>126356.46223819369</v>
      </c>
      <c r="G67" s="125">
        <f>F46</f>
        <v>16139.316524528731</v>
      </c>
      <c r="H67" s="125">
        <f>G46</f>
        <v>0</v>
      </c>
      <c r="I67" s="125">
        <f>H46</f>
        <v>30365.95917731474</v>
      </c>
      <c r="J67" s="125">
        <f>I12/1000</f>
        <v>7700</v>
      </c>
      <c r="K67" s="125">
        <f>M46</f>
        <v>109200</v>
      </c>
      <c r="L67" s="125">
        <f>J12/1000</f>
        <v>26000</v>
      </c>
      <c r="M67" s="125">
        <f>+I46</f>
        <v>50229.624679834153</v>
      </c>
      <c r="N67" s="125">
        <f>+K12/1000</f>
        <v>11474.036</v>
      </c>
      <c r="O67" s="125">
        <f>J46</f>
        <v>63800.046672118144</v>
      </c>
      <c r="P67" s="125">
        <f>+L12/1000</f>
        <v>10121.465475250001</v>
      </c>
      <c r="Q67" s="125">
        <f>K46</f>
        <v>42000</v>
      </c>
      <c r="R67" s="125">
        <f>+M12/1000</f>
        <v>10929.999524749999</v>
      </c>
      <c r="S67" s="142"/>
      <c r="T67" s="125">
        <f>+'Annex 2. Prices 2024'!F112</f>
        <v>119519.012</v>
      </c>
      <c r="U67" s="125">
        <f>+'Annex 2. Prices 2024'!F103</f>
        <v>42000</v>
      </c>
      <c r="V67" s="125">
        <f>J46</f>
        <v>63800.046672118144</v>
      </c>
      <c r="W67" s="125">
        <f>+'Annex 2. Prices 2024'!F103</f>
        <v>42000</v>
      </c>
      <c r="X67" s="142"/>
      <c r="Y67" s="122"/>
    </row>
    <row r="68" spans="2:25" x14ac:dyDescent="0.25">
      <c r="B68" s="157" t="s">
        <v>171</v>
      </c>
      <c r="C68" s="158">
        <f>IFERROR(C66/C67*1000,142.77)</f>
        <v>142.77000000000001</v>
      </c>
      <c r="D68" s="158">
        <f t="shared" ref="D68:F68" si="11">D66/D67*1000</f>
        <v>35.96</v>
      </c>
      <c r="E68" s="158">
        <f>E66/E67*1000</f>
        <v>142.77000012945911</v>
      </c>
      <c r="F68" s="158">
        <f t="shared" si="11"/>
        <v>142.77000012945911</v>
      </c>
      <c r="G68" s="158">
        <f>G66/G67*1000</f>
        <v>142.77000012945911</v>
      </c>
      <c r="H68" s="158">
        <f>IFERROR(H66/H67*1000,142.77)</f>
        <v>142.77000000000001</v>
      </c>
      <c r="I68" s="158">
        <f>I66/I67*1000</f>
        <v>109.26534763191935</v>
      </c>
      <c r="J68" s="158">
        <f>J66/J67</f>
        <v>0.17357744021273247</v>
      </c>
      <c r="K68" s="158">
        <f>K66/K67*1000</f>
        <v>40.552143425606829</v>
      </c>
      <c r="L68" s="158">
        <f>L66/L67</f>
        <v>0.17357744021273244</v>
      </c>
      <c r="M68" s="158">
        <f>M66/M67*1000</f>
        <v>109.26534763191937</v>
      </c>
      <c r="N68" s="158">
        <f>N66/N67</f>
        <v>0.17357744021273244</v>
      </c>
      <c r="O68" s="158">
        <f>O66/O67*1000</f>
        <v>66.60046811980942</v>
      </c>
      <c r="P68" s="158">
        <f>P66/P67</f>
        <v>0.17357744021273244</v>
      </c>
      <c r="Q68" s="158">
        <f>Q66/Q67*1000</f>
        <v>66.600468119809435</v>
      </c>
      <c r="R68" s="158">
        <f>R66/R67</f>
        <v>0.17357744021273244</v>
      </c>
      <c r="S68" s="141"/>
      <c r="T68" s="158">
        <f>T66/T67*1000</f>
        <v>51.480156637343264</v>
      </c>
      <c r="U68" s="158">
        <f>U66/U67*1000</f>
        <v>8.5909585628257243</v>
      </c>
      <c r="V68" s="158">
        <f>V66/V67*1000</f>
        <v>41.331300657335653</v>
      </c>
      <c r="W68" s="158">
        <f>W66/W67*1000</f>
        <v>3.6818393840681671</v>
      </c>
      <c r="X68" s="141"/>
      <c r="Y68" s="141"/>
    </row>
    <row r="69" spans="2:25" ht="12.6" customHeight="1" x14ac:dyDescent="0.25">
      <c r="V69" s="4"/>
    </row>
    <row r="70" spans="2:25" ht="28.35" customHeight="1" x14ac:dyDescent="0.25">
      <c r="V70" s="101"/>
      <c r="W70" s="101"/>
    </row>
    <row r="71" spans="2:25" ht="16.7" customHeight="1" x14ac:dyDescent="0.25">
      <c r="E71" s="101"/>
      <c r="F71" s="85"/>
      <c r="G71" s="85"/>
      <c r="H71" s="112"/>
      <c r="V71" s="101"/>
      <c r="W71" s="101"/>
    </row>
    <row r="72" spans="2:25" x14ac:dyDescent="0.25">
      <c r="E72" s="101"/>
      <c r="F72" s="85"/>
      <c r="G72" s="85"/>
      <c r="H72" s="112"/>
    </row>
    <row r="73" spans="2:25" x14ac:dyDescent="0.25">
      <c r="E73" s="101"/>
      <c r="F73" s="85"/>
      <c r="G73" s="85"/>
      <c r="H73" s="112"/>
      <c r="X73" s="103"/>
    </row>
    <row r="74" spans="2:25" x14ac:dyDescent="0.25">
      <c r="E74" s="101"/>
      <c r="F74" s="85"/>
      <c r="G74" s="85"/>
      <c r="H74" s="112"/>
    </row>
    <row r="75" spans="2:25" x14ac:dyDescent="0.25">
      <c r="E75" s="101"/>
      <c r="F75" s="85"/>
      <c r="G75" s="85"/>
      <c r="H75" s="112"/>
    </row>
    <row r="76" spans="2:25" x14ac:dyDescent="0.25">
      <c r="E76" s="101"/>
      <c r="F76" s="85"/>
      <c r="G76" s="85"/>
      <c r="H76" s="112"/>
    </row>
    <row r="77" spans="2:25" x14ac:dyDescent="0.25">
      <c r="E77" s="101"/>
      <c r="F77" s="85"/>
      <c r="G77" s="85"/>
      <c r="H77" s="112"/>
    </row>
    <row r="78" spans="2:25" x14ac:dyDescent="0.25">
      <c r="E78" s="101"/>
      <c r="F78" s="85"/>
      <c r="G78" s="85"/>
      <c r="H78" s="112"/>
    </row>
    <row r="79" spans="2:25" x14ac:dyDescent="0.25">
      <c r="E79" s="101"/>
      <c r="F79" s="85"/>
      <c r="G79" s="85"/>
      <c r="H79" s="112"/>
    </row>
    <row r="80" spans="2:25" x14ac:dyDescent="0.25">
      <c r="F80" s="85"/>
      <c r="G80" s="85"/>
    </row>
    <row r="81" spans="6:7" x14ac:dyDescent="0.25">
      <c r="F81" s="85"/>
      <c r="G81" s="85"/>
    </row>
    <row r="86" spans="6:7" x14ac:dyDescent="0.25">
      <c r="F86" s="85"/>
      <c r="G86" s="85"/>
    </row>
    <row r="87" spans="6:7" x14ac:dyDescent="0.25">
      <c r="F87" s="85"/>
      <c r="G87" s="85"/>
    </row>
    <row r="88" spans="6:7" x14ac:dyDescent="0.25">
      <c r="F88" s="85"/>
      <c r="G88" s="85"/>
    </row>
    <row r="89" spans="6:7" x14ac:dyDescent="0.25">
      <c r="F89" s="85"/>
      <c r="G89" s="85"/>
    </row>
    <row r="90" spans="6:7" x14ac:dyDescent="0.25">
      <c r="F90" s="85"/>
      <c r="G90" s="85"/>
    </row>
    <row r="91" spans="6:7" x14ac:dyDescent="0.25">
      <c r="F91" s="85"/>
      <c r="G91" s="85"/>
    </row>
    <row r="92" spans="6:7" x14ac:dyDescent="0.25">
      <c r="F92" s="85"/>
      <c r="G92" s="85"/>
    </row>
    <row r="93" spans="6:7" x14ac:dyDescent="0.25">
      <c r="F93" s="85"/>
      <c r="G93" s="85"/>
    </row>
    <row r="94" spans="6:7" x14ac:dyDescent="0.25">
      <c r="F94" s="85"/>
      <c r="G94" s="85"/>
    </row>
    <row r="96" spans="6:7" x14ac:dyDescent="0.25">
      <c r="F96" s="85"/>
      <c r="G96" s="85"/>
    </row>
    <row r="97" spans="6:7" x14ac:dyDescent="0.25">
      <c r="F97" s="85"/>
      <c r="G97" s="85"/>
    </row>
    <row r="98" spans="6:7" x14ac:dyDescent="0.25">
      <c r="F98" s="85"/>
      <c r="G98" s="85"/>
    </row>
    <row r="101" spans="6:7" x14ac:dyDescent="0.25">
      <c r="F101" s="85"/>
      <c r="G101" s="85"/>
    </row>
    <row r="102" spans="6:7" x14ac:dyDescent="0.25">
      <c r="F102" s="85"/>
      <c r="G102" s="85"/>
    </row>
    <row r="103" spans="6:7" x14ac:dyDescent="0.25">
      <c r="F103" s="85"/>
      <c r="G103" s="85"/>
    </row>
    <row r="104" spans="6:7" x14ac:dyDescent="0.25">
      <c r="F104" s="85"/>
      <c r="G104" s="85"/>
    </row>
    <row r="105" spans="6:7" x14ac:dyDescent="0.25">
      <c r="F105" s="85"/>
      <c r="G105" s="85"/>
    </row>
    <row r="106" spans="6:7" x14ac:dyDescent="0.25">
      <c r="F106" s="85"/>
      <c r="G106" s="85"/>
    </row>
    <row r="107" spans="6:7" x14ac:dyDescent="0.25">
      <c r="F107" s="85"/>
      <c r="G107" s="85"/>
    </row>
    <row r="108" spans="6:7" x14ac:dyDescent="0.25">
      <c r="F108" s="85"/>
      <c r="G108" s="85"/>
    </row>
    <row r="109" spans="6:7" x14ac:dyDescent="0.25">
      <c r="F109" s="85"/>
      <c r="G109" s="85"/>
    </row>
    <row r="110" spans="6:7" x14ac:dyDescent="0.25">
      <c r="F110" s="85"/>
      <c r="G110" s="85"/>
    </row>
    <row r="111" spans="6:7" x14ac:dyDescent="0.25">
      <c r="F111" s="85"/>
      <c r="G111" s="85"/>
    </row>
    <row r="112" spans="6:7" x14ac:dyDescent="0.25">
      <c r="F112" s="85"/>
      <c r="G112" s="85"/>
    </row>
    <row r="113" spans="6:7" x14ac:dyDescent="0.25">
      <c r="F113" s="85"/>
      <c r="G113" s="85"/>
    </row>
    <row r="114" spans="6:7" x14ac:dyDescent="0.25">
      <c r="F114" s="85"/>
      <c r="G114" s="85"/>
    </row>
    <row r="115" spans="6:7" x14ac:dyDescent="0.25">
      <c r="F115" s="85"/>
      <c r="G115" s="85"/>
    </row>
    <row r="116" spans="6:7" x14ac:dyDescent="0.25">
      <c r="F116" s="85"/>
      <c r="G116" s="85"/>
    </row>
  </sheetData>
  <mergeCells count="62">
    <mergeCell ref="B1:O1"/>
    <mergeCell ref="I11:M11"/>
    <mergeCell ref="C9:M9"/>
    <mergeCell ref="I10:M10"/>
    <mergeCell ref="N40:N42"/>
    <mergeCell ref="L41:M41"/>
    <mergeCell ref="C13:H13"/>
    <mergeCell ref="B23:C23"/>
    <mergeCell ref="B40:B42"/>
    <mergeCell ref="B4:B5"/>
    <mergeCell ref="O4:O5"/>
    <mergeCell ref="C4:M4"/>
    <mergeCell ref="C8:M8"/>
    <mergeCell ref="C6:M6"/>
    <mergeCell ref="C42:G42"/>
    <mergeCell ref="C7:M7"/>
    <mergeCell ref="B62:B65"/>
    <mergeCell ref="T62:X62"/>
    <mergeCell ref="C64:C65"/>
    <mergeCell ref="D64:D65"/>
    <mergeCell ref="E64:E65"/>
    <mergeCell ref="F64:F65"/>
    <mergeCell ref="P64:P65"/>
    <mergeCell ref="G64:G65"/>
    <mergeCell ref="K63:L63"/>
    <mergeCell ref="M63:N63"/>
    <mergeCell ref="N64:N65"/>
    <mergeCell ref="K64:K65"/>
    <mergeCell ref="M64:M65"/>
    <mergeCell ref="H64:H65"/>
    <mergeCell ref="L54:M54"/>
    <mergeCell ref="L55:M55"/>
    <mergeCell ref="C47:F47"/>
    <mergeCell ref="C41:K41"/>
    <mergeCell ref="H42:K42"/>
    <mergeCell ref="L43:M43"/>
    <mergeCell ref="L45:M45"/>
    <mergeCell ref="C43:K43"/>
    <mergeCell ref="H44:K44"/>
    <mergeCell ref="H45:K45"/>
    <mergeCell ref="H47:K47"/>
    <mergeCell ref="C44:G44"/>
    <mergeCell ref="C45:G45"/>
    <mergeCell ref="H54:K54"/>
    <mergeCell ref="C54:G54"/>
    <mergeCell ref="C55:G55"/>
    <mergeCell ref="Y62:Y65"/>
    <mergeCell ref="I63:J63"/>
    <mergeCell ref="O63:P63"/>
    <mergeCell ref="S63:S65"/>
    <mergeCell ref="T63:W63"/>
    <mergeCell ref="X63:X65"/>
    <mergeCell ref="T64:U64"/>
    <mergeCell ref="V64:W64"/>
    <mergeCell ref="L64:L65"/>
    <mergeCell ref="I64:I65"/>
    <mergeCell ref="C62:S62"/>
    <mergeCell ref="J64:J65"/>
    <mergeCell ref="Q64:Q65"/>
    <mergeCell ref="R64:R65"/>
    <mergeCell ref="Q63:R63"/>
    <mergeCell ref="O64:O65"/>
  </mergeCells>
  <dataValidations count="1">
    <dataValidation type="decimal" allowBlank="1" showInputMessage="1" showErrorMessage="1" errorTitle="Invalid data" error="Values between 0% and 100% must be entered." sqref="C31:C32" xr:uid="{5A853175-4CA9-42E9-9FF4-95BB089910C5}">
      <formula1>0</formula1>
      <formula2>1</formula2>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W59"/>
  <sheetViews>
    <sheetView showGridLines="0" zoomScale="70" zoomScaleNormal="70" workbookViewId="0">
      <selection activeCell="G46" sqref="G46"/>
    </sheetView>
  </sheetViews>
  <sheetFormatPr defaultRowHeight="15" x14ac:dyDescent="0.25"/>
  <cols>
    <col min="1" max="1" width="2.140625" customWidth="1"/>
    <col min="2" max="2" width="40.7109375" customWidth="1"/>
    <col min="3" max="15" width="16.42578125" customWidth="1"/>
    <col min="16" max="30" width="6.7109375" customWidth="1"/>
  </cols>
  <sheetData>
    <row r="1" spans="2:23" ht="25.15" customHeight="1" x14ac:dyDescent="0.25">
      <c r="B1" s="42" t="s">
        <v>225</v>
      </c>
      <c r="C1" s="42"/>
      <c r="D1" s="42"/>
      <c r="E1" s="42"/>
      <c r="F1" s="42"/>
      <c r="G1" s="42"/>
      <c r="H1" s="42"/>
      <c r="I1" s="42"/>
      <c r="J1" s="42"/>
      <c r="K1" s="42"/>
      <c r="L1" s="42"/>
      <c r="M1" s="42"/>
      <c r="N1" s="42"/>
      <c r="O1" s="42"/>
      <c r="P1" s="42"/>
      <c r="Q1" s="42"/>
      <c r="R1" s="42"/>
      <c r="S1" s="42"/>
      <c r="T1" s="42"/>
      <c r="U1" s="42"/>
    </row>
    <row r="2" spans="2:23" ht="15.75" x14ac:dyDescent="0.25">
      <c r="B2" s="13" t="s">
        <v>226</v>
      </c>
      <c r="C2" s="13"/>
      <c r="D2" s="13"/>
      <c r="E2" s="13"/>
      <c r="F2" s="13"/>
      <c r="G2" s="13"/>
      <c r="H2" s="13"/>
      <c r="I2" s="13"/>
      <c r="J2" s="13"/>
      <c r="K2" s="13"/>
      <c r="L2" s="13"/>
      <c r="M2" s="13"/>
      <c r="N2" s="13"/>
      <c r="O2" s="13"/>
      <c r="P2" s="13"/>
      <c r="Q2" s="13"/>
      <c r="R2" s="13"/>
      <c r="S2" s="13"/>
      <c r="T2" s="13"/>
      <c r="U2" s="13"/>
      <c r="V2" s="40"/>
    </row>
    <row r="3" spans="2:23" ht="14.45" customHeight="1" x14ac:dyDescent="0.25">
      <c r="B3" s="14" t="s">
        <v>228</v>
      </c>
      <c r="C3" s="3"/>
      <c r="D3" s="3"/>
      <c r="E3" s="3"/>
      <c r="F3" s="3"/>
      <c r="G3" s="3"/>
      <c r="H3" s="3"/>
      <c r="I3" s="3"/>
      <c r="J3" s="3"/>
      <c r="K3" s="3"/>
      <c r="L3" s="3"/>
      <c r="M3" s="3"/>
      <c r="N3" s="3"/>
      <c r="O3" s="3"/>
      <c r="P3" s="3"/>
      <c r="Q3" s="3"/>
      <c r="R3" s="3"/>
      <c r="S3" s="16"/>
      <c r="T3" s="16"/>
      <c r="U3" s="16"/>
      <c r="V3" s="16"/>
    </row>
    <row r="4" spans="2:23" x14ac:dyDescent="0.25">
      <c r="B4" s="532" t="s">
        <v>227</v>
      </c>
      <c r="C4" s="2"/>
      <c r="D4" s="2"/>
      <c r="E4" s="2"/>
      <c r="F4" s="2"/>
    </row>
    <row r="5" spans="2:23" x14ac:dyDescent="0.25">
      <c r="B5" s="5"/>
      <c r="C5" s="2"/>
      <c r="D5" s="2"/>
      <c r="E5" s="2"/>
      <c r="F5" s="2"/>
    </row>
    <row r="6" spans="2:23" ht="41.45" customHeight="1" x14ac:dyDescent="0.25">
      <c r="B6" s="702" t="s">
        <v>229</v>
      </c>
      <c r="C6" s="702"/>
      <c r="D6" s="702"/>
      <c r="E6" s="702"/>
      <c r="F6" s="702"/>
      <c r="G6" s="702"/>
      <c r="H6" s="702"/>
      <c r="I6" s="702"/>
      <c r="J6" s="702"/>
      <c r="K6" s="702"/>
      <c r="L6" s="702"/>
      <c r="M6" s="702"/>
      <c r="N6" s="702"/>
      <c r="O6" s="702"/>
      <c r="P6" s="52"/>
      <c r="Q6" s="52"/>
      <c r="R6" s="52"/>
      <c r="W6" s="4"/>
    </row>
    <row r="7" spans="2:23" ht="14.45" customHeight="1" x14ac:dyDescent="0.25">
      <c r="B7" s="703"/>
      <c r="C7" s="699" t="s">
        <v>230</v>
      </c>
      <c r="D7" s="700"/>
      <c r="E7" s="700"/>
      <c r="F7" s="700"/>
      <c r="G7" s="700"/>
      <c r="H7" s="700"/>
      <c r="I7" s="700"/>
      <c r="J7" s="700"/>
      <c r="K7" s="700"/>
      <c r="L7" s="700"/>
      <c r="M7" s="700"/>
      <c r="N7" s="700"/>
      <c r="O7" s="701"/>
      <c r="P7" s="47"/>
      <c r="Q7" s="47"/>
      <c r="R7" s="47"/>
      <c r="S7" s="43"/>
      <c r="T7" s="43"/>
      <c r="U7" s="43"/>
      <c r="V7" s="43"/>
      <c r="W7" s="4"/>
    </row>
    <row r="8" spans="2:23" x14ac:dyDescent="0.25">
      <c r="B8" s="703"/>
      <c r="C8" s="310" t="s">
        <v>231</v>
      </c>
      <c r="D8" s="310" t="s">
        <v>232</v>
      </c>
      <c r="E8" s="310" t="s">
        <v>233</v>
      </c>
      <c r="F8" s="310" t="s">
        <v>234</v>
      </c>
      <c r="G8" s="310" t="s">
        <v>200</v>
      </c>
      <c r="H8" s="310" t="s">
        <v>235</v>
      </c>
      <c r="I8" s="310" t="s">
        <v>236</v>
      </c>
      <c r="J8" s="310" t="s">
        <v>237</v>
      </c>
      <c r="K8" s="310" t="s">
        <v>238</v>
      </c>
      <c r="L8" s="310" t="s">
        <v>239</v>
      </c>
      <c r="M8" s="310" t="s">
        <v>240</v>
      </c>
      <c r="N8" s="310" t="s">
        <v>241</v>
      </c>
      <c r="O8" s="310" t="s">
        <v>242</v>
      </c>
      <c r="P8" s="53"/>
      <c r="Q8" s="53"/>
      <c r="R8" s="53"/>
      <c r="S8" s="17"/>
      <c r="T8" s="17"/>
      <c r="U8" s="17"/>
      <c r="V8" s="17"/>
    </row>
    <row r="9" spans="2:23" ht="25.5" x14ac:dyDescent="0.25">
      <c r="B9" s="533" t="s">
        <v>243</v>
      </c>
      <c r="C9" s="342">
        <v>5647857.1707999995</v>
      </c>
      <c r="D9" s="342">
        <v>5007489.6295999996</v>
      </c>
      <c r="E9" s="342">
        <v>5059768.4501999998</v>
      </c>
      <c r="F9" s="342">
        <v>4041409.5376000004</v>
      </c>
      <c r="G9" s="342">
        <v>3583226.7872000001</v>
      </c>
      <c r="H9" s="342">
        <v>3121479.9389999998</v>
      </c>
      <c r="I9" s="342">
        <v>2828904.2746000001</v>
      </c>
      <c r="J9" s="342">
        <v>2965615.6741999998</v>
      </c>
      <c r="K9" s="342">
        <v>3207844.9564</v>
      </c>
      <c r="L9" s="342">
        <v>4244201.6129999999</v>
      </c>
      <c r="M9" s="342">
        <v>4861286.93</v>
      </c>
      <c r="N9" s="342">
        <v>5533297.6456000004</v>
      </c>
      <c r="O9" s="318">
        <f>SUM(C9:N9)</f>
        <v>50102382.608199991</v>
      </c>
      <c r="S9" s="17"/>
      <c r="T9" s="17"/>
      <c r="U9" s="17"/>
      <c r="V9" s="17"/>
    </row>
    <row r="10" spans="2:23" x14ac:dyDescent="0.25">
      <c r="B10" s="19"/>
      <c r="C10" s="50"/>
      <c r="D10" s="50"/>
      <c r="E10" s="50"/>
      <c r="F10" s="50"/>
      <c r="G10" s="50"/>
      <c r="H10" s="50"/>
      <c r="I10" s="50"/>
      <c r="J10" s="50"/>
      <c r="K10" s="50"/>
      <c r="L10" s="50"/>
      <c r="M10" s="50"/>
      <c r="N10" s="50"/>
      <c r="O10" s="51"/>
      <c r="S10" s="17"/>
      <c r="T10" s="17"/>
      <c r="U10" s="17"/>
      <c r="V10" s="17"/>
    </row>
    <row r="11" spans="2:23" ht="40.15" customHeight="1" x14ac:dyDescent="0.25">
      <c r="B11" s="702" t="s">
        <v>244</v>
      </c>
      <c r="C11" s="702"/>
      <c r="D11" s="702"/>
      <c r="E11" s="702"/>
      <c r="F11" s="702"/>
      <c r="G11" s="702"/>
      <c r="H11" s="702"/>
      <c r="I11" s="702"/>
      <c r="J11" s="702"/>
      <c r="K11" s="702"/>
      <c r="L11" s="702"/>
      <c r="M11" s="702"/>
      <c r="N11" s="702"/>
      <c r="O11" s="702"/>
      <c r="S11" s="17"/>
      <c r="T11" s="17"/>
      <c r="U11" s="17"/>
      <c r="V11" s="17"/>
    </row>
    <row r="12" spans="2:23" ht="14.45" customHeight="1" x14ac:dyDescent="0.25">
      <c r="B12" s="703"/>
      <c r="C12" s="699" t="s">
        <v>245</v>
      </c>
      <c r="D12" s="700"/>
      <c r="E12" s="700"/>
      <c r="F12" s="700"/>
      <c r="G12" s="700"/>
      <c r="H12" s="700"/>
      <c r="I12" s="700"/>
      <c r="J12" s="700"/>
      <c r="K12" s="700"/>
      <c r="L12" s="700"/>
      <c r="M12" s="700"/>
      <c r="N12" s="700"/>
      <c r="O12" s="701"/>
      <c r="S12" s="17"/>
      <c r="T12" s="17"/>
      <c r="U12" s="17"/>
      <c r="V12" s="17"/>
    </row>
    <row r="13" spans="2:23" x14ac:dyDescent="0.25">
      <c r="B13" s="703"/>
      <c r="C13" s="310" t="s">
        <v>231</v>
      </c>
      <c r="D13" s="310" t="s">
        <v>232</v>
      </c>
      <c r="E13" s="310" t="s">
        <v>233</v>
      </c>
      <c r="F13" s="310" t="s">
        <v>234</v>
      </c>
      <c r="G13" s="310" t="s">
        <v>200</v>
      </c>
      <c r="H13" s="310" t="s">
        <v>235</v>
      </c>
      <c r="I13" s="310" t="s">
        <v>236</v>
      </c>
      <c r="J13" s="310" t="s">
        <v>237</v>
      </c>
      <c r="K13" s="310" t="s">
        <v>238</v>
      </c>
      <c r="L13" s="310" t="s">
        <v>239</v>
      </c>
      <c r="M13" s="310" t="s">
        <v>240</v>
      </c>
      <c r="N13" s="310" t="s">
        <v>241</v>
      </c>
      <c r="O13" s="310" t="s">
        <v>242</v>
      </c>
      <c r="S13" s="17"/>
      <c r="T13" s="17"/>
      <c r="U13" s="17"/>
      <c r="V13" s="17"/>
    </row>
    <row r="14" spans="2:23" x14ac:dyDescent="0.25">
      <c r="B14" s="534" t="s">
        <v>246</v>
      </c>
      <c r="C14" s="319">
        <f>C9/$O$9</f>
        <v>0.11272631912470456</v>
      </c>
      <c r="D14" s="319">
        <f t="shared" ref="D14:N14" si="0">D9/$O$9</f>
        <v>9.9945139710390749E-2</v>
      </c>
      <c r="E14" s="319">
        <f t="shared" si="0"/>
        <v>0.10098857952060536</v>
      </c>
      <c r="F14" s="319">
        <f t="shared" si="0"/>
        <v>8.0663020942612101E-2</v>
      </c>
      <c r="G14" s="319">
        <f t="shared" si="0"/>
        <v>7.1518091569033534E-2</v>
      </c>
      <c r="H14" s="319">
        <f t="shared" si="0"/>
        <v>6.2302025901840516E-2</v>
      </c>
      <c r="I14" s="319">
        <f t="shared" si="0"/>
        <v>5.6462469993133785E-2</v>
      </c>
      <c r="J14" s="319">
        <f t="shared" si="0"/>
        <v>5.9191110678130369E-2</v>
      </c>
      <c r="K14" s="319">
        <f t="shared" si="0"/>
        <v>6.4025796567107551E-2</v>
      </c>
      <c r="L14" s="319">
        <f t="shared" si="0"/>
        <v>8.4710574468875144E-2</v>
      </c>
      <c r="M14" s="319">
        <f t="shared" si="0"/>
        <v>9.702706092872275E-2</v>
      </c>
      <c r="N14" s="319">
        <f t="shared" si="0"/>
        <v>0.11043981059484374</v>
      </c>
      <c r="O14" s="319">
        <f>SUM(C14:N14)</f>
        <v>1</v>
      </c>
      <c r="S14" s="17"/>
      <c r="T14" s="17"/>
      <c r="U14" s="17"/>
      <c r="V14" s="17"/>
    </row>
    <row r="15" spans="2:23" x14ac:dyDescent="0.25">
      <c r="B15" s="19"/>
      <c r="C15" s="50"/>
      <c r="D15" s="50"/>
      <c r="E15" s="54"/>
      <c r="F15" s="54"/>
      <c r="G15" s="50"/>
      <c r="H15" s="50"/>
      <c r="I15" s="50"/>
      <c r="J15" s="50"/>
      <c r="K15" s="50"/>
      <c r="L15" s="50"/>
      <c r="M15" s="50"/>
      <c r="N15" s="50"/>
      <c r="O15" s="51"/>
      <c r="S15" s="17"/>
      <c r="T15" s="17"/>
      <c r="U15" s="17"/>
      <c r="V15" s="17"/>
    </row>
    <row r="16" spans="2:23" ht="41.45" customHeight="1" x14ac:dyDescent="0.25">
      <c r="B16" s="702" t="s">
        <v>247</v>
      </c>
      <c r="C16" s="702"/>
      <c r="D16" s="702"/>
      <c r="E16" s="702"/>
      <c r="F16" s="702"/>
      <c r="G16" s="702"/>
      <c r="H16" s="702"/>
      <c r="I16" s="702"/>
      <c r="J16" s="702"/>
      <c r="K16" s="702"/>
      <c r="L16" s="702"/>
      <c r="M16" s="702"/>
      <c r="N16" s="702"/>
      <c r="O16" s="52"/>
      <c r="S16" s="17"/>
      <c r="T16" s="17"/>
      <c r="U16" s="17"/>
      <c r="V16" s="17"/>
    </row>
    <row r="17" spans="2:22" ht="14.45" customHeight="1" x14ac:dyDescent="0.25">
      <c r="B17" s="703"/>
      <c r="C17" s="699" t="s">
        <v>245</v>
      </c>
      <c r="D17" s="700"/>
      <c r="E17" s="700"/>
      <c r="F17" s="700"/>
      <c r="G17" s="700"/>
      <c r="H17" s="700"/>
      <c r="I17" s="700"/>
      <c r="J17" s="700"/>
      <c r="K17" s="700"/>
      <c r="L17" s="700"/>
      <c r="M17" s="700"/>
      <c r="N17" s="701"/>
      <c r="O17" s="55"/>
      <c r="S17" s="17"/>
      <c r="T17" s="17"/>
      <c r="U17" s="17"/>
      <c r="V17" s="17"/>
    </row>
    <row r="18" spans="2:22" x14ac:dyDescent="0.25">
      <c r="B18" s="703"/>
      <c r="C18" s="310" t="s">
        <v>231</v>
      </c>
      <c r="D18" s="310" t="s">
        <v>232</v>
      </c>
      <c r="E18" s="310" t="s">
        <v>233</v>
      </c>
      <c r="F18" s="310" t="s">
        <v>234</v>
      </c>
      <c r="G18" s="310" t="s">
        <v>200</v>
      </c>
      <c r="H18" s="310" t="s">
        <v>235</v>
      </c>
      <c r="I18" s="310" t="s">
        <v>236</v>
      </c>
      <c r="J18" s="310" t="s">
        <v>237</v>
      </c>
      <c r="K18" s="310" t="s">
        <v>238</v>
      </c>
      <c r="L18" s="310" t="s">
        <v>239</v>
      </c>
      <c r="M18" s="310" t="s">
        <v>240</v>
      </c>
      <c r="N18" s="310" t="s">
        <v>241</v>
      </c>
      <c r="O18" s="56"/>
      <c r="S18" s="17"/>
      <c r="T18" s="17"/>
      <c r="U18" s="17"/>
      <c r="V18" s="17"/>
    </row>
    <row r="19" spans="2:22" x14ac:dyDescent="0.25">
      <c r="B19" s="291" t="s">
        <v>248</v>
      </c>
      <c r="C19" s="319">
        <f>IF(C14&gt;0,C14*12,MIN(0.1,SMALL($C$14:$N$14,COUNTIF($C$14:$N$14,0)+1))*12)</f>
        <v>1.3527158294964547</v>
      </c>
      <c r="D19" s="319">
        <f t="shared" ref="D19:N19" si="1">IF(D14&gt;0,D14*12,MIN(0.1,SMALL($C$14:$N$14,COUNTIF($C$14:$N$14,0)+1))*12)</f>
        <v>1.1993416765246889</v>
      </c>
      <c r="E19" s="319">
        <f t="shared" si="1"/>
        <v>1.2118629542472643</v>
      </c>
      <c r="F19" s="319">
        <f t="shared" si="1"/>
        <v>0.96795625131134522</v>
      </c>
      <c r="G19" s="319">
        <f t="shared" si="1"/>
        <v>0.85821709882840236</v>
      </c>
      <c r="H19" s="319">
        <f t="shared" si="1"/>
        <v>0.74762431082208614</v>
      </c>
      <c r="I19" s="319">
        <f t="shared" si="1"/>
        <v>0.67754963991760542</v>
      </c>
      <c r="J19" s="319">
        <f t="shared" si="1"/>
        <v>0.71029332813756441</v>
      </c>
      <c r="K19" s="319">
        <f t="shared" si="1"/>
        <v>0.76830955880529062</v>
      </c>
      <c r="L19" s="319">
        <f t="shared" si="1"/>
        <v>1.0165268936265017</v>
      </c>
      <c r="M19" s="319">
        <f t="shared" si="1"/>
        <v>1.1643247311446729</v>
      </c>
      <c r="N19" s="319">
        <f t="shared" si="1"/>
        <v>1.3252777271381249</v>
      </c>
      <c r="O19" s="54"/>
      <c r="Q19" s="59"/>
      <c r="R19" s="53"/>
      <c r="S19" s="36"/>
      <c r="T19" s="17"/>
      <c r="U19" s="17"/>
      <c r="V19" s="17"/>
    </row>
    <row r="20" spans="2:22" x14ac:dyDescent="0.25">
      <c r="B20" s="19"/>
      <c r="C20" s="58"/>
      <c r="D20" s="50"/>
      <c r="E20" s="50"/>
      <c r="F20" s="50"/>
      <c r="G20" s="50"/>
      <c r="H20" s="50"/>
      <c r="I20" s="50"/>
      <c r="J20" s="50"/>
      <c r="K20" s="50"/>
      <c r="L20" s="50"/>
      <c r="M20" s="50"/>
      <c r="N20" s="50"/>
      <c r="O20" s="51"/>
      <c r="S20" s="17"/>
      <c r="T20" s="17"/>
      <c r="U20" s="17"/>
      <c r="V20" s="17"/>
    </row>
    <row r="21" spans="2:22" ht="43.15" customHeight="1" x14ac:dyDescent="0.25">
      <c r="B21" s="702" t="s">
        <v>249</v>
      </c>
      <c r="C21" s="702"/>
      <c r="D21" s="702"/>
      <c r="E21" s="702"/>
      <c r="F21" s="702"/>
      <c r="G21" s="702"/>
      <c r="H21" s="702"/>
      <c r="I21" s="702"/>
      <c r="J21" s="702"/>
      <c r="K21" s="702"/>
      <c r="L21" s="702"/>
      <c r="M21" s="702"/>
      <c r="N21" s="702"/>
      <c r="O21" s="52"/>
      <c r="S21" s="17"/>
      <c r="T21" s="17"/>
      <c r="U21" s="17"/>
      <c r="V21" s="17"/>
    </row>
    <row r="22" spans="2:22" ht="14.45" customHeight="1" x14ac:dyDescent="0.25">
      <c r="B22" s="703"/>
      <c r="C22" s="699" t="s">
        <v>245</v>
      </c>
      <c r="D22" s="700"/>
      <c r="E22" s="700"/>
      <c r="F22" s="700"/>
      <c r="G22" s="700"/>
      <c r="H22" s="700"/>
      <c r="I22" s="700"/>
      <c r="J22" s="700"/>
      <c r="K22" s="700"/>
      <c r="L22" s="700"/>
      <c r="M22" s="700"/>
      <c r="N22" s="701"/>
      <c r="O22" s="55"/>
      <c r="S22" s="17"/>
      <c r="T22" s="17"/>
      <c r="U22" s="17"/>
      <c r="V22" s="17"/>
    </row>
    <row r="23" spans="2:22" x14ac:dyDescent="0.25">
      <c r="B23" s="703"/>
      <c r="C23" s="310" t="s">
        <v>231</v>
      </c>
      <c r="D23" s="310" t="s">
        <v>232</v>
      </c>
      <c r="E23" s="310" t="s">
        <v>233</v>
      </c>
      <c r="F23" s="310" t="s">
        <v>234</v>
      </c>
      <c r="G23" s="310" t="s">
        <v>200</v>
      </c>
      <c r="H23" s="310" t="s">
        <v>235</v>
      </c>
      <c r="I23" s="310" t="s">
        <v>236</v>
      </c>
      <c r="J23" s="310" t="s">
        <v>237</v>
      </c>
      <c r="K23" s="310" t="s">
        <v>238</v>
      </c>
      <c r="L23" s="310" t="s">
        <v>239</v>
      </c>
      <c r="M23" s="310" t="s">
        <v>240</v>
      </c>
      <c r="N23" s="310" t="s">
        <v>241</v>
      </c>
      <c r="O23" s="56"/>
      <c r="S23" s="17"/>
      <c r="T23" s="17"/>
      <c r="U23" s="17"/>
      <c r="V23" s="17"/>
    </row>
    <row r="24" spans="2:22" x14ac:dyDescent="0.25">
      <c r="B24" s="291" t="s">
        <v>250</v>
      </c>
      <c r="C24" s="319">
        <f>C19^$C$25</f>
        <v>1.8298401153702817</v>
      </c>
      <c r="D24" s="319">
        <f t="shared" ref="D24:N24" si="2">D19^$C$25</f>
        <v>1.4384204570490515</v>
      </c>
      <c r="E24" s="319">
        <f t="shared" si="2"/>
        <v>1.4686118198769071</v>
      </c>
      <c r="F24" s="319">
        <f t="shared" si="2"/>
        <v>0.93693930445271212</v>
      </c>
      <c r="G24" s="319">
        <f t="shared" si="2"/>
        <v>0.73653658872143979</v>
      </c>
      <c r="H24" s="319">
        <f t="shared" si="2"/>
        <v>0.5589421101321993</v>
      </c>
      <c r="I24" s="319">
        <f t="shared" si="2"/>
        <v>0.45907351455247675</v>
      </c>
      <c r="J24" s="319">
        <f t="shared" si="2"/>
        <v>0.5045166119967377</v>
      </c>
      <c r="K24" s="319">
        <f t="shared" si="2"/>
        <v>0.5902995781515803</v>
      </c>
      <c r="L24" s="319">
        <f t="shared" si="2"/>
        <v>1.0333269254659452</v>
      </c>
      <c r="M24" s="319">
        <f t="shared" si="2"/>
        <v>1.355652079555115</v>
      </c>
      <c r="N24" s="319">
        <f t="shared" si="2"/>
        <v>1.756361054048394</v>
      </c>
      <c r="O24" s="54"/>
      <c r="S24" s="17"/>
      <c r="T24" s="17"/>
      <c r="U24" s="17"/>
      <c r="V24" s="17"/>
    </row>
    <row r="25" spans="2:22" x14ac:dyDescent="0.25">
      <c r="B25" s="291" t="s">
        <v>251</v>
      </c>
      <c r="C25" s="311">
        <v>2</v>
      </c>
      <c r="D25" s="50"/>
      <c r="E25" s="50"/>
      <c r="F25" s="50"/>
      <c r="G25" s="50"/>
      <c r="H25" s="50"/>
      <c r="I25" s="50"/>
      <c r="J25" s="50"/>
      <c r="K25" s="50"/>
      <c r="L25" s="50"/>
      <c r="M25" s="50"/>
      <c r="N25" s="50"/>
      <c r="O25" s="51"/>
      <c r="S25" s="17"/>
      <c r="T25" s="17"/>
      <c r="U25" s="17"/>
      <c r="V25" s="17"/>
    </row>
    <row r="26" spans="2:22" x14ac:dyDescent="0.25">
      <c r="B26" s="19"/>
      <c r="C26" s="50"/>
      <c r="D26" s="50"/>
      <c r="E26" s="50"/>
      <c r="F26" s="50"/>
      <c r="G26" s="50"/>
      <c r="H26" s="50"/>
      <c r="I26" s="50"/>
      <c r="J26" s="50"/>
      <c r="K26" s="50"/>
      <c r="L26" s="50"/>
      <c r="M26" s="50"/>
      <c r="N26" s="50"/>
      <c r="O26" s="51"/>
      <c r="S26" s="17"/>
      <c r="T26" s="17"/>
      <c r="U26" s="17"/>
      <c r="V26" s="17"/>
    </row>
    <row r="27" spans="2:22" ht="55.9" customHeight="1" x14ac:dyDescent="0.25">
      <c r="B27" s="702" t="s">
        <v>252</v>
      </c>
      <c r="C27" s="702"/>
      <c r="D27" s="702"/>
      <c r="E27" s="702"/>
      <c r="F27" s="702"/>
      <c r="G27" s="702"/>
      <c r="H27" s="702"/>
      <c r="I27" s="702"/>
      <c r="J27" s="702"/>
      <c r="K27" s="702"/>
      <c r="L27" s="702"/>
      <c r="M27" s="702"/>
      <c r="N27" s="702"/>
      <c r="O27" s="702"/>
      <c r="S27" s="17"/>
      <c r="T27" s="17"/>
      <c r="U27" s="17"/>
      <c r="V27" s="17"/>
    </row>
    <row r="28" spans="2:22" ht="14.45" customHeight="1" x14ac:dyDescent="0.25">
      <c r="B28" s="703"/>
      <c r="C28" s="699" t="s">
        <v>245</v>
      </c>
      <c r="D28" s="700"/>
      <c r="E28" s="700"/>
      <c r="F28" s="700"/>
      <c r="G28" s="700"/>
      <c r="H28" s="700"/>
      <c r="I28" s="700"/>
      <c r="J28" s="700"/>
      <c r="K28" s="700"/>
      <c r="L28" s="700"/>
      <c r="M28" s="700"/>
      <c r="N28" s="700"/>
      <c r="O28" s="701"/>
      <c r="S28" s="17"/>
      <c r="T28" s="17"/>
      <c r="U28" s="17"/>
      <c r="V28" s="17"/>
    </row>
    <row r="29" spans="2:22" x14ac:dyDescent="0.25">
      <c r="B29" s="703"/>
      <c r="C29" s="310" t="s">
        <v>231</v>
      </c>
      <c r="D29" s="310" t="s">
        <v>232</v>
      </c>
      <c r="E29" s="310" t="s">
        <v>233</v>
      </c>
      <c r="F29" s="310" t="s">
        <v>234</v>
      </c>
      <c r="G29" s="310" t="s">
        <v>200</v>
      </c>
      <c r="H29" s="310" t="s">
        <v>235</v>
      </c>
      <c r="I29" s="310" t="s">
        <v>236</v>
      </c>
      <c r="J29" s="310" t="s">
        <v>237</v>
      </c>
      <c r="K29" s="310" t="s">
        <v>238</v>
      </c>
      <c r="L29" s="310" t="s">
        <v>239</v>
      </c>
      <c r="M29" s="310" t="s">
        <v>240</v>
      </c>
      <c r="N29" s="310" t="s">
        <v>241</v>
      </c>
      <c r="O29" s="310" t="s">
        <v>253</v>
      </c>
      <c r="S29" s="17"/>
      <c r="T29" s="17"/>
      <c r="U29" s="17"/>
      <c r="V29" s="17"/>
    </row>
    <row r="30" spans="2:22" x14ac:dyDescent="0.25">
      <c r="B30" s="291" t="s">
        <v>254</v>
      </c>
      <c r="C30" s="319">
        <f>C24*$C$33</f>
        <v>2.7447601730554227</v>
      </c>
      <c r="D30" s="319">
        <f t="shared" ref="D30:N30" si="3">D24*$C$33</f>
        <v>2.1576306855735772</v>
      </c>
      <c r="E30" s="319">
        <f t="shared" si="3"/>
        <v>2.2029177298153608</v>
      </c>
      <c r="F30" s="319">
        <f t="shared" si="3"/>
        <v>1.4054089566790682</v>
      </c>
      <c r="G30" s="319">
        <f t="shared" si="3"/>
        <v>1.1048048830821597</v>
      </c>
      <c r="H30" s="319">
        <f t="shared" si="3"/>
        <v>0.83841316519829889</v>
      </c>
      <c r="I30" s="319">
        <f t="shared" si="3"/>
        <v>0.68861027182871515</v>
      </c>
      <c r="J30" s="319">
        <f t="shared" si="3"/>
        <v>0.75677491799510654</v>
      </c>
      <c r="K30" s="319">
        <f t="shared" si="3"/>
        <v>0.88544936722737044</v>
      </c>
      <c r="L30" s="319">
        <f t="shared" si="3"/>
        <v>1.5499903881989177</v>
      </c>
      <c r="M30" s="319">
        <f t="shared" si="3"/>
        <v>2.0334781193326723</v>
      </c>
      <c r="N30" s="319">
        <f t="shared" si="3"/>
        <v>2.634541581072591</v>
      </c>
      <c r="O30" s="319">
        <f>AVERAGE(C30:N30)</f>
        <v>1.5835650199216047</v>
      </c>
      <c r="S30" s="17"/>
      <c r="T30" s="17"/>
      <c r="U30" s="17"/>
      <c r="V30" s="17"/>
    </row>
    <row r="31" spans="2:22" x14ac:dyDescent="0.25">
      <c r="B31" s="291" t="s">
        <v>255</v>
      </c>
      <c r="C31" s="319">
        <f>C24*$C$34</f>
        <v>5.4895203461108455</v>
      </c>
      <c r="D31" s="319">
        <f t="shared" ref="D31:N31" si="4">D24*$C$34</f>
        <v>4.3152613711471544</v>
      </c>
      <c r="E31" s="319">
        <f t="shared" si="4"/>
        <v>4.4058354596307217</v>
      </c>
      <c r="F31" s="319">
        <f t="shared" si="4"/>
        <v>2.8108179133581364</v>
      </c>
      <c r="G31" s="319">
        <f t="shared" si="4"/>
        <v>2.2096097661643195</v>
      </c>
      <c r="H31" s="319">
        <f t="shared" si="4"/>
        <v>1.6768263303965978</v>
      </c>
      <c r="I31" s="319">
        <f t="shared" si="4"/>
        <v>1.3772205436574303</v>
      </c>
      <c r="J31" s="319">
        <f t="shared" si="4"/>
        <v>1.5135498359902131</v>
      </c>
      <c r="K31" s="319">
        <f t="shared" si="4"/>
        <v>1.7708987344547409</v>
      </c>
      <c r="L31" s="319">
        <f t="shared" si="4"/>
        <v>3.0999807763978353</v>
      </c>
      <c r="M31" s="319">
        <f t="shared" si="4"/>
        <v>4.0669562386653446</v>
      </c>
      <c r="N31" s="319">
        <f t="shared" si="4"/>
        <v>5.2690831621451819</v>
      </c>
      <c r="O31" s="319">
        <f>AVERAGE(C31:N31)</f>
        <v>3.1671300398432094</v>
      </c>
      <c r="S31" s="17"/>
      <c r="T31" s="17"/>
      <c r="U31" s="17"/>
      <c r="V31" s="17"/>
    </row>
    <row r="32" spans="2:22" ht="8.4499999999999993" customHeight="1" x14ac:dyDescent="0.25">
      <c r="B32" s="291"/>
      <c r="C32" s="320"/>
      <c r="D32" s="320"/>
      <c r="E32" s="320"/>
      <c r="F32" s="320"/>
      <c r="G32" s="320"/>
      <c r="H32" s="320"/>
      <c r="I32" s="320"/>
      <c r="J32" s="320"/>
      <c r="K32" s="320"/>
      <c r="L32" s="320"/>
      <c r="M32" s="320"/>
      <c r="N32" s="320"/>
      <c r="O32" s="320"/>
      <c r="S32" s="17"/>
      <c r="T32" s="17"/>
      <c r="U32" s="17"/>
      <c r="V32" s="17"/>
    </row>
    <row r="33" spans="2:22" x14ac:dyDescent="0.25">
      <c r="B33" s="291" t="s">
        <v>256</v>
      </c>
      <c r="C33" s="312">
        <f>'Annex 2. Ms, SFs, Short term '!M18</f>
        <v>1.5</v>
      </c>
      <c r="D33" s="50"/>
      <c r="E33" s="50"/>
      <c r="F33" s="50"/>
      <c r="G33" s="50"/>
      <c r="H33" s="50"/>
      <c r="I33" s="50"/>
      <c r="J33" s="50"/>
      <c r="K33" s="50"/>
      <c r="L33" s="50"/>
      <c r="M33" s="50"/>
      <c r="N33" s="50"/>
      <c r="O33" s="51"/>
      <c r="S33" s="17"/>
      <c r="T33" s="17"/>
      <c r="U33" s="17"/>
      <c r="V33" s="17"/>
    </row>
    <row r="34" spans="2:22" x14ac:dyDescent="0.25">
      <c r="B34" s="291" t="s">
        <v>257</v>
      </c>
      <c r="C34" s="312">
        <f>'Annex 2. Ms, SFs, Short term '!N18</f>
        <v>3</v>
      </c>
      <c r="D34" s="50"/>
      <c r="E34" s="50"/>
      <c r="F34" s="50"/>
      <c r="G34" s="50"/>
      <c r="H34" s="50"/>
      <c r="I34" s="50"/>
      <c r="J34" s="50"/>
      <c r="K34" s="50"/>
      <c r="L34" s="50"/>
      <c r="M34" s="50"/>
      <c r="N34" s="50"/>
      <c r="O34" s="51"/>
      <c r="S34" s="17"/>
      <c r="T34" s="17"/>
      <c r="U34" s="17"/>
      <c r="V34" s="17"/>
    </row>
    <row r="35" spans="2:22" x14ac:dyDescent="0.25">
      <c r="B35" s="19"/>
      <c r="C35" s="50"/>
      <c r="D35" s="50"/>
      <c r="E35" s="50"/>
      <c r="F35" s="50"/>
      <c r="G35" s="50"/>
      <c r="H35" s="50"/>
      <c r="I35" s="50"/>
      <c r="J35" s="50"/>
      <c r="K35" s="50"/>
      <c r="L35" s="50"/>
      <c r="M35" s="50"/>
      <c r="N35" s="50"/>
      <c r="O35" s="51"/>
      <c r="S35" s="17"/>
      <c r="T35" s="17"/>
      <c r="U35" s="17"/>
      <c r="V35" s="17"/>
    </row>
    <row r="36" spans="2:22" ht="162" customHeight="1" x14ac:dyDescent="0.25">
      <c r="B36" s="702" t="s">
        <v>258</v>
      </c>
      <c r="C36" s="702"/>
      <c r="D36" s="702"/>
      <c r="E36" s="702"/>
      <c r="F36" s="702"/>
      <c r="G36" s="702"/>
      <c r="H36" s="702"/>
      <c r="I36" s="702"/>
      <c r="J36" s="702"/>
      <c r="K36" s="702"/>
      <c r="L36" s="702"/>
      <c r="M36" s="702"/>
      <c r="N36" s="702"/>
      <c r="O36" s="52"/>
      <c r="S36" s="17"/>
      <c r="T36" s="17"/>
      <c r="U36" s="17"/>
      <c r="V36" s="17"/>
    </row>
    <row r="37" spans="2:22" ht="14.45" customHeight="1" x14ac:dyDescent="0.25">
      <c r="B37" s="703"/>
      <c r="C37" s="699" t="s">
        <v>245</v>
      </c>
      <c r="D37" s="700"/>
      <c r="E37" s="700"/>
      <c r="F37" s="700"/>
      <c r="G37" s="700"/>
      <c r="H37" s="700"/>
      <c r="I37" s="700"/>
      <c r="J37" s="700"/>
      <c r="K37" s="700"/>
      <c r="L37" s="700"/>
      <c r="M37" s="700"/>
      <c r="N37" s="701"/>
      <c r="O37" s="55"/>
      <c r="S37" s="17"/>
      <c r="T37" s="17"/>
      <c r="U37" s="17"/>
      <c r="V37" s="17"/>
    </row>
    <row r="38" spans="2:22" x14ac:dyDescent="0.25">
      <c r="B38" s="703"/>
      <c r="C38" s="310" t="s">
        <v>231</v>
      </c>
      <c r="D38" s="310" t="s">
        <v>232</v>
      </c>
      <c r="E38" s="310" t="s">
        <v>233</v>
      </c>
      <c r="F38" s="310" t="s">
        <v>234</v>
      </c>
      <c r="G38" s="310" t="s">
        <v>200</v>
      </c>
      <c r="H38" s="310" t="s">
        <v>235</v>
      </c>
      <c r="I38" s="310" t="s">
        <v>236</v>
      </c>
      <c r="J38" s="310" t="s">
        <v>237</v>
      </c>
      <c r="K38" s="310" t="s">
        <v>238</v>
      </c>
      <c r="L38" s="310" t="s">
        <v>239</v>
      </c>
      <c r="M38" s="310" t="s">
        <v>240</v>
      </c>
      <c r="N38" s="310" t="s">
        <v>241</v>
      </c>
      <c r="O38" s="56"/>
      <c r="S38" s="17"/>
      <c r="T38" s="17"/>
      <c r="U38" s="17"/>
      <c r="V38" s="17"/>
    </row>
    <row r="39" spans="2:22" x14ac:dyDescent="0.25">
      <c r="B39" s="291" t="s">
        <v>259</v>
      </c>
      <c r="C39" s="319">
        <f>C24*$C$42</f>
        <v>1.7332791129670846</v>
      </c>
      <c r="D39" s="319">
        <f t="shared" ref="D39:N39" si="5">D24*$C$42</f>
        <v>1.362514742640875</v>
      </c>
      <c r="E39" s="319">
        <f t="shared" si="5"/>
        <v>1.3911129016504906</v>
      </c>
      <c r="F39" s="319">
        <f t="shared" si="5"/>
        <v>0.88749684351365865</v>
      </c>
      <c r="G39" s="319">
        <f t="shared" si="5"/>
        <v>0.69766941627496526</v>
      </c>
      <c r="H39" s="319">
        <f t="shared" si="5"/>
        <v>0.52944663127239644</v>
      </c>
      <c r="I39" s="319">
        <f t="shared" si="5"/>
        <v>0.43484812001139378</v>
      </c>
      <c r="J39" s="319">
        <f t="shared" si="5"/>
        <v>0.47789317677184551</v>
      </c>
      <c r="K39" s="319">
        <f t="shared" si="5"/>
        <v>0.55914935988621739</v>
      </c>
      <c r="L39" s="319">
        <f t="shared" si="5"/>
        <v>0.97879807188191803</v>
      </c>
      <c r="M39" s="319">
        <f t="shared" si="5"/>
        <v>1.2841140677844356</v>
      </c>
      <c r="N39" s="319">
        <f t="shared" si="5"/>
        <v>1.6636775553447218</v>
      </c>
      <c r="O39" s="54"/>
      <c r="S39" s="17"/>
      <c r="T39" s="17"/>
      <c r="U39" s="17"/>
      <c r="V39" s="17"/>
    </row>
    <row r="40" spans="2:22" x14ac:dyDescent="0.25">
      <c r="B40" s="291" t="s">
        <v>260</v>
      </c>
      <c r="C40" s="319">
        <f>C24*$C$43</f>
        <v>1.7332791129670846</v>
      </c>
      <c r="D40" s="319">
        <f t="shared" ref="D40:N40" si="6">D24*$C$43</f>
        <v>1.362514742640875</v>
      </c>
      <c r="E40" s="319">
        <f t="shared" si="6"/>
        <v>1.3911129016504906</v>
      </c>
      <c r="F40" s="319">
        <f t="shared" si="6"/>
        <v>0.88749684351365865</v>
      </c>
      <c r="G40" s="319">
        <f t="shared" si="6"/>
        <v>0.69766941627496526</v>
      </c>
      <c r="H40" s="319">
        <f t="shared" si="6"/>
        <v>0.52944663127239644</v>
      </c>
      <c r="I40" s="319">
        <f t="shared" si="6"/>
        <v>0.43484812001139378</v>
      </c>
      <c r="J40" s="319">
        <f t="shared" si="6"/>
        <v>0.47789317677184551</v>
      </c>
      <c r="K40" s="319">
        <f t="shared" si="6"/>
        <v>0.55914935988621739</v>
      </c>
      <c r="L40" s="319">
        <f t="shared" si="6"/>
        <v>0.97879807188191803</v>
      </c>
      <c r="M40" s="319">
        <f t="shared" si="6"/>
        <v>1.2841140677844356</v>
      </c>
      <c r="N40" s="319">
        <f t="shared" si="6"/>
        <v>1.6636775553447218</v>
      </c>
      <c r="O40" s="54"/>
      <c r="S40" s="17"/>
      <c r="T40" s="17"/>
      <c r="U40" s="17"/>
      <c r="V40" s="17"/>
    </row>
    <row r="41" spans="2:22" ht="7.15" customHeight="1" x14ac:dyDescent="0.25">
      <c r="B41" s="291"/>
      <c r="C41" s="320"/>
      <c r="D41" s="320"/>
      <c r="E41" s="320"/>
      <c r="F41" s="320"/>
      <c r="G41" s="320"/>
      <c r="H41" s="320"/>
      <c r="I41" s="320"/>
      <c r="J41" s="320"/>
      <c r="K41" s="320"/>
      <c r="L41" s="320"/>
      <c r="M41" s="320"/>
      <c r="N41" s="320"/>
      <c r="O41" s="54"/>
      <c r="S41" s="17"/>
      <c r="T41" s="17"/>
      <c r="U41" s="17"/>
      <c r="V41" s="17"/>
    </row>
    <row r="42" spans="2:22" x14ac:dyDescent="0.25">
      <c r="B42" s="291" t="s">
        <v>261</v>
      </c>
      <c r="C42" s="319">
        <f>IF(O30&gt;1.5,1.5/O30,IF(O30&lt;1,1/O30,1))</f>
        <v>0.94722981445640819</v>
      </c>
      <c r="D42" s="54"/>
      <c r="E42" s="50"/>
      <c r="F42" s="50"/>
      <c r="G42" s="50"/>
      <c r="H42" s="50"/>
      <c r="I42" s="50"/>
      <c r="J42" s="50"/>
      <c r="K42" s="50"/>
      <c r="L42" s="50"/>
      <c r="M42" s="50"/>
      <c r="N42" s="50"/>
      <c r="O42" s="51"/>
      <c r="S42" s="17"/>
      <c r="T42" s="17"/>
      <c r="U42" s="17"/>
      <c r="V42" s="17"/>
    </row>
    <row r="43" spans="2:22" x14ac:dyDescent="0.25">
      <c r="B43" s="291" t="s">
        <v>262</v>
      </c>
      <c r="C43" s="319">
        <f>IF(O31&gt;3,3/O31,IF(O31&lt;1,1/O31,1))</f>
        <v>0.94722981445640819</v>
      </c>
      <c r="D43" s="54"/>
      <c r="E43" s="50"/>
      <c r="F43" s="50"/>
      <c r="G43" s="50"/>
      <c r="H43" s="50"/>
      <c r="I43" s="50"/>
      <c r="J43" s="50"/>
      <c r="K43" s="50"/>
      <c r="L43" s="50"/>
      <c r="M43" s="50"/>
      <c r="N43" s="50"/>
      <c r="O43" s="51"/>
      <c r="S43" s="17"/>
      <c r="T43" s="17"/>
      <c r="U43" s="17"/>
      <c r="V43" s="17"/>
    </row>
    <row r="44" spans="2:22" x14ac:dyDescent="0.25">
      <c r="B44" s="19"/>
      <c r="C44" s="50"/>
      <c r="D44" s="50"/>
      <c r="E44" s="50"/>
      <c r="F44" s="50"/>
      <c r="G44" s="50"/>
      <c r="H44" s="50"/>
      <c r="I44" s="50"/>
      <c r="J44" s="50"/>
      <c r="K44" s="50"/>
      <c r="L44" s="50"/>
      <c r="M44" s="50"/>
      <c r="N44" s="50"/>
      <c r="O44" s="51"/>
      <c r="S44" s="17"/>
      <c r="T44" s="17"/>
      <c r="U44" s="17"/>
      <c r="V44" s="17"/>
    </row>
    <row r="45" spans="2:22" ht="98.45" customHeight="1" x14ac:dyDescent="0.25">
      <c r="B45" s="702" t="s">
        <v>263</v>
      </c>
      <c r="C45" s="702"/>
      <c r="D45" s="702"/>
      <c r="E45" s="702"/>
      <c r="F45" s="702"/>
      <c r="G45" s="702"/>
      <c r="H45" s="702"/>
      <c r="I45" s="702"/>
      <c r="J45" s="702"/>
      <c r="K45" s="702"/>
      <c r="L45" s="702"/>
      <c r="M45" s="702"/>
      <c r="N45" s="702"/>
      <c r="O45" s="52"/>
      <c r="S45" s="17"/>
      <c r="T45" s="17"/>
      <c r="U45" s="17"/>
      <c r="V45" s="17"/>
    </row>
    <row r="46" spans="2:22" ht="14.45" customHeight="1" x14ac:dyDescent="0.25">
      <c r="B46" s="703"/>
      <c r="C46" s="699" t="s">
        <v>264</v>
      </c>
      <c r="D46" s="700"/>
      <c r="E46" s="700"/>
      <c r="F46" s="701"/>
      <c r="G46" s="55"/>
      <c r="H46" s="55"/>
      <c r="I46" s="55"/>
      <c r="J46" s="55"/>
      <c r="K46" s="55"/>
      <c r="L46" s="55"/>
      <c r="M46" s="55"/>
      <c r="N46" s="55"/>
      <c r="O46" s="55"/>
      <c r="S46" s="17"/>
      <c r="T46" s="17"/>
      <c r="U46" s="17"/>
      <c r="V46" s="17"/>
    </row>
    <row r="47" spans="2:22" x14ac:dyDescent="0.25">
      <c r="B47" s="703"/>
      <c r="C47" s="310" t="s">
        <v>265</v>
      </c>
      <c r="D47" s="310" t="s">
        <v>266</v>
      </c>
      <c r="E47" s="310" t="s">
        <v>267</v>
      </c>
      <c r="F47" s="310" t="s">
        <v>268</v>
      </c>
      <c r="G47" s="56"/>
      <c r="H47" s="56"/>
      <c r="I47" s="56"/>
      <c r="J47" s="56"/>
      <c r="K47" s="56"/>
      <c r="L47" s="56"/>
      <c r="M47" s="56"/>
      <c r="N47" s="56"/>
      <c r="O47" s="56"/>
      <c r="S47" s="17"/>
      <c r="T47" s="17"/>
      <c r="U47" s="17"/>
      <c r="V47" s="17"/>
    </row>
    <row r="48" spans="2:22" x14ac:dyDescent="0.25">
      <c r="B48" s="291" t="s">
        <v>270</v>
      </c>
      <c r="C48" s="319">
        <f>AVERAGE(C39:E39)</f>
        <v>1.4956355857528167</v>
      </c>
      <c r="D48" s="319">
        <f>AVERAGE(F39:H39)</f>
        <v>0.70487096368700686</v>
      </c>
      <c r="E48" s="319">
        <f>AVERAGE(I39:K39)</f>
        <v>0.49063021888981889</v>
      </c>
      <c r="F48" s="319">
        <f>AVERAGE(L39:N39)</f>
        <v>1.3088632316703583</v>
      </c>
      <c r="G48" s="54"/>
      <c r="H48" s="54"/>
      <c r="I48" s="54"/>
      <c r="J48" s="54"/>
      <c r="K48" s="54"/>
      <c r="L48" s="54"/>
      <c r="M48" s="54"/>
      <c r="N48" s="54"/>
      <c r="O48" s="54"/>
      <c r="S48" s="17"/>
      <c r="T48" s="17"/>
      <c r="U48" s="17"/>
      <c r="V48" s="17"/>
    </row>
    <row r="49" spans="2:22" x14ac:dyDescent="0.25">
      <c r="B49" s="19"/>
      <c r="C49" s="50"/>
      <c r="D49" s="50"/>
      <c r="E49" s="50"/>
      <c r="F49" s="50"/>
      <c r="G49" s="50"/>
      <c r="H49" s="50"/>
      <c r="I49" s="50"/>
      <c r="J49" s="50"/>
      <c r="K49" s="50"/>
      <c r="L49" s="50"/>
      <c r="M49" s="50"/>
      <c r="N49" s="50"/>
      <c r="O49" s="51"/>
      <c r="S49" s="17"/>
      <c r="T49" s="17"/>
      <c r="U49" s="17"/>
      <c r="V49" s="17"/>
    </row>
    <row r="50" spans="2:22" ht="29.45" customHeight="1" x14ac:dyDescent="0.25">
      <c r="B50" s="702" t="s">
        <v>269</v>
      </c>
      <c r="C50" s="702"/>
      <c r="D50" s="702"/>
      <c r="E50" s="702"/>
      <c r="F50" s="702"/>
      <c r="G50" s="702"/>
      <c r="H50" s="702"/>
      <c r="I50" s="702"/>
      <c r="J50" s="702"/>
      <c r="K50" s="702"/>
      <c r="L50" s="702"/>
      <c r="M50" s="702"/>
      <c r="N50" s="702"/>
      <c r="O50" s="535"/>
      <c r="S50" s="17"/>
      <c r="T50" s="17"/>
      <c r="U50" s="17"/>
      <c r="V50" s="17"/>
    </row>
    <row r="51" spans="2:22" ht="14.45" customHeight="1" x14ac:dyDescent="0.25">
      <c r="B51" s="703"/>
      <c r="C51" s="699" t="s">
        <v>245</v>
      </c>
      <c r="D51" s="700"/>
      <c r="E51" s="700"/>
      <c r="F51" s="700"/>
      <c r="G51" s="700"/>
      <c r="H51" s="700"/>
      <c r="I51" s="700"/>
      <c r="J51" s="700"/>
      <c r="K51" s="700"/>
      <c r="L51" s="700"/>
      <c r="M51" s="700"/>
      <c r="N51" s="700"/>
      <c r="O51" s="701"/>
      <c r="S51" s="17"/>
      <c r="T51" s="17"/>
      <c r="U51" s="17"/>
      <c r="V51" s="17"/>
    </row>
    <row r="52" spans="2:22" x14ac:dyDescent="0.25">
      <c r="B52" s="703"/>
      <c r="C52" s="310" t="s">
        <v>231</v>
      </c>
      <c r="D52" s="310" t="s">
        <v>232</v>
      </c>
      <c r="E52" s="310" t="s">
        <v>233</v>
      </c>
      <c r="F52" s="310" t="s">
        <v>234</v>
      </c>
      <c r="G52" s="310" t="s">
        <v>200</v>
      </c>
      <c r="H52" s="310" t="s">
        <v>235</v>
      </c>
      <c r="I52" s="310" t="s">
        <v>236</v>
      </c>
      <c r="J52" s="310" t="s">
        <v>237</v>
      </c>
      <c r="K52" s="310" t="s">
        <v>238</v>
      </c>
      <c r="L52" s="310" t="s">
        <v>239</v>
      </c>
      <c r="M52" s="310" t="s">
        <v>240</v>
      </c>
      <c r="N52" s="310" t="s">
        <v>241</v>
      </c>
      <c r="O52" s="310" t="s">
        <v>253</v>
      </c>
      <c r="S52" s="17"/>
      <c r="T52" s="17"/>
      <c r="U52" s="17"/>
      <c r="V52" s="17"/>
    </row>
    <row r="53" spans="2:22" x14ac:dyDescent="0.25">
      <c r="B53" s="291" t="s">
        <v>271</v>
      </c>
      <c r="C53" s="321">
        <f>ROUND(C39,2)</f>
        <v>1.73</v>
      </c>
      <c r="D53" s="321">
        <f t="shared" ref="D53:N53" si="7">ROUND(D39,2)</f>
        <v>1.36</v>
      </c>
      <c r="E53" s="321">
        <f t="shared" si="7"/>
        <v>1.39</v>
      </c>
      <c r="F53" s="321">
        <f t="shared" si="7"/>
        <v>0.89</v>
      </c>
      <c r="G53" s="321">
        <f t="shared" si="7"/>
        <v>0.7</v>
      </c>
      <c r="H53" s="321">
        <f t="shared" si="7"/>
        <v>0.53</v>
      </c>
      <c r="I53" s="321">
        <f t="shared" si="7"/>
        <v>0.43</v>
      </c>
      <c r="J53" s="321">
        <f t="shared" si="7"/>
        <v>0.48</v>
      </c>
      <c r="K53" s="321">
        <f t="shared" si="7"/>
        <v>0.56000000000000005</v>
      </c>
      <c r="L53" s="321">
        <f t="shared" si="7"/>
        <v>0.98</v>
      </c>
      <c r="M53" s="321">
        <f t="shared" si="7"/>
        <v>1.28</v>
      </c>
      <c r="N53" s="321">
        <f t="shared" si="7"/>
        <v>1.66</v>
      </c>
      <c r="O53" s="321">
        <f>AVERAGE(C53:N53)</f>
        <v>0.99916666666666665</v>
      </c>
      <c r="S53" s="17"/>
      <c r="T53" s="17"/>
      <c r="U53" s="17"/>
      <c r="V53" s="17"/>
    </row>
    <row r="54" spans="2:22" x14ac:dyDescent="0.25">
      <c r="B54" s="291" t="s">
        <v>272</v>
      </c>
      <c r="C54" s="321">
        <f>ROUND(C40,2)</f>
        <v>1.73</v>
      </c>
      <c r="D54" s="321">
        <f t="shared" ref="D54:N54" si="8">ROUND(D40,2)</f>
        <v>1.36</v>
      </c>
      <c r="E54" s="321">
        <f t="shared" si="8"/>
        <v>1.39</v>
      </c>
      <c r="F54" s="321">
        <f t="shared" si="8"/>
        <v>0.89</v>
      </c>
      <c r="G54" s="321">
        <f t="shared" si="8"/>
        <v>0.7</v>
      </c>
      <c r="H54" s="321">
        <f t="shared" si="8"/>
        <v>0.53</v>
      </c>
      <c r="I54" s="321">
        <f t="shared" si="8"/>
        <v>0.43</v>
      </c>
      <c r="J54" s="321">
        <f t="shared" si="8"/>
        <v>0.48</v>
      </c>
      <c r="K54" s="321">
        <f t="shared" si="8"/>
        <v>0.56000000000000005</v>
      </c>
      <c r="L54" s="321">
        <f t="shared" si="8"/>
        <v>0.98</v>
      </c>
      <c r="M54" s="321">
        <f t="shared" si="8"/>
        <v>1.28</v>
      </c>
      <c r="N54" s="321">
        <f t="shared" si="8"/>
        <v>1.66</v>
      </c>
      <c r="O54" s="321">
        <f>AVERAGE(C54:N54)</f>
        <v>0.99916666666666665</v>
      </c>
      <c r="S54" s="17"/>
      <c r="T54" s="17"/>
      <c r="U54" s="17"/>
      <c r="V54" s="17"/>
    </row>
    <row r="55" spans="2:22" x14ac:dyDescent="0.25">
      <c r="B55" s="536"/>
      <c r="C55" s="310" t="s">
        <v>47</v>
      </c>
      <c r="D55" s="310" t="s">
        <v>48</v>
      </c>
      <c r="E55" s="310" t="s">
        <v>49</v>
      </c>
      <c r="F55" s="310" t="s">
        <v>50</v>
      </c>
      <c r="G55" s="310" t="s">
        <v>46</v>
      </c>
      <c r="H55" s="56"/>
      <c r="I55" s="56"/>
      <c r="J55" s="56"/>
      <c r="K55" s="56"/>
      <c r="L55" s="56"/>
      <c r="M55" s="56"/>
      <c r="N55" s="56"/>
      <c r="O55" s="51"/>
      <c r="S55" s="17"/>
      <c r="T55" s="17"/>
      <c r="U55" s="17"/>
      <c r="V55" s="17"/>
    </row>
    <row r="56" spans="2:22" x14ac:dyDescent="0.25">
      <c r="B56" s="291" t="s">
        <v>273</v>
      </c>
      <c r="C56" s="321">
        <f>ROUND(C48,2)</f>
        <v>1.5</v>
      </c>
      <c r="D56" s="321">
        <f t="shared" ref="D56:F56" si="9">ROUND(D48,2)</f>
        <v>0.7</v>
      </c>
      <c r="E56" s="321">
        <f t="shared" si="9"/>
        <v>0.49</v>
      </c>
      <c r="F56" s="321">
        <f t="shared" si="9"/>
        <v>1.31</v>
      </c>
      <c r="G56" s="321">
        <f>AVERAGE(C56:F56)</f>
        <v>1</v>
      </c>
      <c r="H56" s="54"/>
      <c r="I56" s="54"/>
      <c r="J56" s="54"/>
      <c r="K56" s="54"/>
      <c r="L56" s="54"/>
      <c r="M56" s="54"/>
      <c r="N56" s="54"/>
      <c r="O56" s="51"/>
      <c r="S56" s="17"/>
      <c r="T56" s="17"/>
      <c r="U56" s="17"/>
      <c r="V56" s="17"/>
    </row>
    <row r="57" spans="2:22" x14ac:dyDescent="0.25">
      <c r="B57" s="19"/>
      <c r="C57" s="50"/>
      <c r="D57" s="50"/>
      <c r="E57" s="50"/>
      <c r="F57" s="50"/>
      <c r="G57" s="50"/>
      <c r="H57" s="50"/>
      <c r="I57" s="50"/>
      <c r="J57" s="50"/>
      <c r="K57" s="50"/>
      <c r="L57" s="50"/>
      <c r="M57" s="50"/>
      <c r="N57" s="50"/>
      <c r="O57" s="51"/>
      <c r="S57" s="17"/>
      <c r="T57" s="17"/>
      <c r="U57" s="17"/>
      <c r="V57" s="17"/>
    </row>
    <row r="58" spans="2:22" x14ac:dyDescent="0.25">
      <c r="C58" s="65"/>
      <c r="D58" s="57"/>
      <c r="E58" s="57"/>
      <c r="F58" s="57"/>
      <c r="S58" s="41"/>
    </row>
    <row r="59" spans="2:22" x14ac:dyDescent="0.25">
      <c r="B59" s="66"/>
      <c r="C59" s="64"/>
    </row>
  </sheetData>
  <mergeCells count="24">
    <mergeCell ref="C37:N37"/>
    <mergeCell ref="B45:N45"/>
    <mergeCell ref="B6:O6"/>
    <mergeCell ref="C7:O7"/>
    <mergeCell ref="B11:O11"/>
    <mergeCell ref="C12:O12"/>
    <mergeCell ref="B7:B8"/>
    <mergeCell ref="B12:B13"/>
    <mergeCell ref="C46:F46"/>
    <mergeCell ref="B50:N50"/>
    <mergeCell ref="C51:O51"/>
    <mergeCell ref="B16:N16"/>
    <mergeCell ref="C22:N22"/>
    <mergeCell ref="B22:B23"/>
    <mergeCell ref="B21:N21"/>
    <mergeCell ref="B51:B52"/>
    <mergeCell ref="B46:B47"/>
    <mergeCell ref="B28:B29"/>
    <mergeCell ref="B37:B38"/>
    <mergeCell ref="C17:N17"/>
    <mergeCell ref="B17:B18"/>
    <mergeCell ref="B27:O27"/>
    <mergeCell ref="C28:O28"/>
    <mergeCell ref="B36:N36"/>
  </mergeCells>
  <dataValidations count="2">
    <dataValidation operator="greaterThan" allowBlank="1" showInputMessage="1" showErrorMessage="1" sqref="C9:N9" xr:uid="{2B3A4820-3970-4086-AE8A-674D7E07876D}"/>
    <dataValidation type="decimal" allowBlank="1" showInputMessage="1" showErrorMessage="1" errorTitle="Invalid data" error="Values between 0 and 2 must be entered." sqref="C25" xr:uid="{00000000-0002-0000-0200-000001000000}">
      <formula1>0</formula1>
      <formula2>2</formula2>
    </dataValidation>
  </dataValidations>
  <pageMargins left="0.7" right="0.7" top="0.75" bottom="0.75" header="0.3" footer="0.3"/>
  <pageSetup paperSize="9" scale="3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38AFEB-F278-40EF-88E9-C7B45C94CE34}">
  <sheetPr>
    <pageSetUpPr fitToPage="1"/>
  </sheetPr>
  <dimension ref="A1:AQ53"/>
  <sheetViews>
    <sheetView view="pageLayout" zoomScaleNormal="100" workbookViewId="0">
      <selection activeCell="Y19" sqref="Y19"/>
    </sheetView>
  </sheetViews>
  <sheetFormatPr defaultColWidth="8.7109375" defaultRowHeight="15" x14ac:dyDescent="0.25"/>
  <cols>
    <col min="1" max="1" width="4.85546875" customWidth="1"/>
    <col min="2" max="2" width="5.42578125" customWidth="1"/>
    <col min="3" max="17" width="4.5703125" customWidth="1"/>
    <col min="18" max="20" width="4.5703125" hidden="1" customWidth="1"/>
    <col min="21" max="21" width="3.42578125" customWidth="1"/>
    <col min="22" max="22" width="5.28515625" customWidth="1"/>
    <col min="23" max="23" width="3.42578125" customWidth="1"/>
    <col min="24" max="24" width="5.42578125" customWidth="1"/>
    <col min="25" max="25" width="7.42578125" customWidth="1"/>
    <col min="26" max="32" width="6" customWidth="1"/>
    <col min="33" max="33" width="7.140625" customWidth="1"/>
    <col min="34" max="34" width="6" customWidth="1"/>
    <col min="35" max="35" width="4" hidden="1" customWidth="1"/>
    <col min="36" max="37" width="4.28515625" hidden="1" customWidth="1"/>
    <col min="38" max="38" width="3.42578125" customWidth="1"/>
    <col min="39" max="39" width="3.7109375" customWidth="1"/>
    <col min="40" max="40" width="3.42578125" customWidth="1"/>
    <col min="41" max="41" width="5" customWidth="1"/>
    <col min="42" max="42" width="5.42578125" customWidth="1"/>
    <col min="43" max="43" width="4" customWidth="1"/>
  </cols>
  <sheetData>
    <row r="1" spans="1:43" ht="12" customHeight="1" x14ac:dyDescent="0.25">
      <c r="A1" s="721"/>
      <c r="B1" s="721"/>
      <c r="C1" s="738" t="s">
        <v>213</v>
      </c>
      <c r="D1" s="738"/>
      <c r="E1" s="738"/>
      <c r="F1" s="738"/>
      <c r="G1" s="738"/>
      <c r="H1" s="738"/>
      <c r="I1" s="738"/>
      <c r="J1" s="738"/>
      <c r="K1" s="738"/>
      <c r="L1" s="738"/>
      <c r="M1" s="738"/>
      <c r="N1" s="738"/>
      <c r="O1" s="738"/>
      <c r="P1" s="738"/>
      <c r="Q1" s="738"/>
      <c r="R1" s="738"/>
      <c r="S1" s="738"/>
      <c r="T1" s="738"/>
      <c r="U1" s="738"/>
      <c r="V1" s="738"/>
      <c r="W1" s="738"/>
      <c r="X1" s="738"/>
      <c r="Y1" s="738"/>
      <c r="Z1" s="738"/>
      <c r="AA1" s="738"/>
      <c r="AB1" s="738"/>
      <c r="AC1" s="738"/>
      <c r="AD1" s="738"/>
      <c r="AE1" s="738"/>
      <c r="AF1" s="738"/>
      <c r="AG1" s="738"/>
      <c r="AH1" s="738"/>
      <c r="AI1" s="738"/>
      <c r="AJ1" s="738"/>
      <c r="AK1" s="738"/>
      <c r="AL1" s="738"/>
      <c r="AM1" s="738"/>
      <c r="AN1" s="738"/>
      <c r="AO1" s="738"/>
      <c r="AP1" s="738"/>
      <c r="AQ1" s="738"/>
    </row>
    <row r="2" spans="1:43" ht="14.45" customHeight="1" x14ac:dyDescent="0.25">
      <c r="A2" s="721"/>
      <c r="B2" s="721"/>
      <c r="C2" s="716" t="s">
        <v>174</v>
      </c>
      <c r="D2" s="717"/>
      <c r="E2" s="717"/>
      <c r="F2" s="717"/>
      <c r="G2" s="717"/>
      <c r="H2" s="717"/>
      <c r="I2" s="717"/>
      <c r="J2" s="717"/>
      <c r="K2" s="717"/>
      <c r="L2" s="717"/>
      <c r="M2" s="717"/>
      <c r="N2" s="717"/>
      <c r="O2" s="717"/>
      <c r="P2" s="717"/>
      <c r="Q2" s="717"/>
      <c r="R2" s="717"/>
      <c r="S2" s="717"/>
      <c r="T2" s="717"/>
      <c r="U2" s="717"/>
      <c r="V2" s="717"/>
      <c r="W2" s="717"/>
      <c r="X2" s="717"/>
      <c r="Y2" s="718"/>
      <c r="Z2" s="716" t="s">
        <v>175</v>
      </c>
      <c r="AA2" s="717"/>
      <c r="AB2" s="717"/>
      <c r="AC2" s="717"/>
      <c r="AD2" s="717"/>
      <c r="AE2" s="717"/>
      <c r="AF2" s="717"/>
      <c r="AG2" s="717"/>
      <c r="AH2" s="717"/>
      <c r="AI2" s="717"/>
      <c r="AJ2" s="717"/>
      <c r="AK2" s="717"/>
      <c r="AL2" s="717"/>
      <c r="AM2" s="717"/>
      <c r="AN2" s="717"/>
      <c r="AO2" s="717"/>
      <c r="AP2" s="717"/>
      <c r="AQ2" s="718"/>
    </row>
    <row r="3" spans="1:43" ht="34.5" customHeight="1" x14ac:dyDescent="0.25">
      <c r="A3" s="721"/>
      <c r="B3" s="721"/>
      <c r="C3" s="719" t="s">
        <v>176</v>
      </c>
      <c r="D3" s="719"/>
      <c r="E3" s="719"/>
      <c r="F3" s="719" t="s">
        <v>224</v>
      </c>
      <c r="G3" s="719"/>
      <c r="H3" s="719"/>
      <c r="I3" s="719" t="s">
        <v>177</v>
      </c>
      <c r="J3" s="719"/>
      <c r="K3" s="719"/>
      <c r="L3" s="719" t="s">
        <v>178</v>
      </c>
      <c r="M3" s="719"/>
      <c r="N3" s="719"/>
      <c r="O3" s="719" t="s">
        <v>179</v>
      </c>
      <c r="P3" s="719"/>
      <c r="Q3" s="719"/>
      <c r="R3" s="719" t="s">
        <v>180</v>
      </c>
      <c r="S3" s="719"/>
      <c r="T3" s="719"/>
      <c r="U3" s="719"/>
      <c r="V3" s="719"/>
      <c r="W3" s="719"/>
      <c r="X3" s="719"/>
      <c r="Y3" s="719"/>
      <c r="Z3" s="719" t="s">
        <v>181</v>
      </c>
      <c r="AA3" s="719"/>
      <c r="AB3" s="719" t="s">
        <v>182</v>
      </c>
      <c r="AC3" s="719"/>
      <c r="AD3" s="719" t="s">
        <v>177</v>
      </c>
      <c r="AE3" s="719"/>
      <c r="AF3" s="719"/>
      <c r="AG3" s="719" t="s">
        <v>210</v>
      </c>
      <c r="AH3" s="719"/>
      <c r="AI3" s="719" t="s">
        <v>180</v>
      </c>
      <c r="AJ3" s="719"/>
      <c r="AK3" s="719"/>
      <c r="AL3" s="719"/>
      <c r="AM3" s="719"/>
      <c r="AN3" s="719"/>
      <c r="AO3" s="719"/>
      <c r="AP3" s="719"/>
      <c r="AQ3" s="719"/>
    </row>
    <row r="4" spans="1:43" ht="12.95" customHeight="1" x14ac:dyDescent="0.25">
      <c r="A4" s="747" t="s">
        <v>214</v>
      </c>
      <c r="B4" s="747"/>
      <c r="C4" s="747"/>
      <c r="D4" s="747"/>
      <c r="E4" s="747"/>
      <c r="F4" s="747"/>
      <c r="G4" s="747"/>
      <c r="H4" s="747"/>
      <c r="I4" s="747"/>
      <c r="J4" s="747"/>
      <c r="K4" s="747"/>
      <c r="L4" s="747"/>
      <c r="M4" s="747"/>
      <c r="N4" s="747"/>
      <c r="O4" s="747"/>
      <c r="P4" s="747"/>
      <c r="Q4" s="747"/>
      <c r="R4" s="747"/>
      <c r="S4" s="747"/>
      <c r="T4" s="747"/>
      <c r="U4" s="747"/>
      <c r="V4" s="747"/>
      <c r="W4" s="747"/>
      <c r="X4" s="747"/>
      <c r="Y4" s="747"/>
      <c r="Z4" s="747"/>
      <c r="AA4" s="747"/>
      <c r="AB4" s="747"/>
      <c r="AC4" s="747"/>
      <c r="AD4" s="747"/>
      <c r="AE4" s="747"/>
      <c r="AF4" s="747"/>
      <c r="AG4" s="747"/>
      <c r="AH4" s="747"/>
      <c r="AI4" s="747"/>
      <c r="AJ4" s="747"/>
      <c r="AK4" s="747"/>
      <c r="AL4" s="747"/>
      <c r="AM4" s="747"/>
      <c r="AN4" s="747"/>
      <c r="AO4" s="747"/>
      <c r="AP4" s="747"/>
      <c r="AQ4" s="747"/>
    </row>
    <row r="5" spans="1:43" ht="30" customHeight="1" x14ac:dyDescent="0.25">
      <c r="A5" s="720" t="s">
        <v>185</v>
      </c>
      <c r="B5" s="720"/>
      <c r="C5" s="730" t="s">
        <v>184</v>
      </c>
      <c r="D5" s="730"/>
      <c r="E5" s="730"/>
      <c r="F5" s="730"/>
      <c r="G5" s="730"/>
      <c r="H5" s="730"/>
      <c r="I5" s="730"/>
      <c r="J5" s="730"/>
      <c r="K5" s="730"/>
      <c r="L5" s="730"/>
      <c r="M5" s="730"/>
      <c r="N5" s="730"/>
      <c r="O5" s="730"/>
      <c r="P5" s="730"/>
      <c r="Q5" s="730"/>
      <c r="R5" s="730"/>
      <c r="S5" s="730"/>
      <c r="T5" s="730"/>
      <c r="U5" s="719" t="s">
        <v>183</v>
      </c>
      <c r="V5" s="719"/>
      <c r="W5" s="719"/>
      <c r="X5" s="719"/>
      <c r="Y5" s="719"/>
      <c r="Z5" s="730" t="s">
        <v>184</v>
      </c>
      <c r="AA5" s="730"/>
      <c r="AB5" s="730"/>
      <c r="AC5" s="730"/>
      <c r="AD5" s="730"/>
      <c r="AE5" s="730"/>
      <c r="AF5" s="730"/>
      <c r="AG5" s="730"/>
      <c r="AH5" s="730"/>
      <c r="AI5" s="730"/>
      <c r="AJ5" s="730"/>
      <c r="AK5" s="730"/>
      <c r="AL5" s="741" t="s">
        <v>183</v>
      </c>
      <c r="AM5" s="742"/>
      <c r="AN5" s="742"/>
      <c r="AO5" s="742"/>
      <c r="AP5" s="742"/>
      <c r="AQ5" s="743"/>
    </row>
    <row r="6" spans="1:43" ht="45" customHeight="1" x14ac:dyDescent="0.25">
      <c r="A6" s="720" t="s">
        <v>136</v>
      </c>
      <c r="B6" s="720"/>
      <c r="C6" s="739">
        <f>ROUND('Annex 2. Ms, SFs, Short term '!C58,2)</f>
        <v>142.77000000000001</v>
      </c>
      <c r="D6" s="739"/>
      <c r="E6" s="739"/>
      <c r="F6" s="739">
        <f>ROUND('Annex 2. Ms, SFs, Short term '!C59,2)</f>
        <v>35.96</v>
      </c>
      <c r="G6" s="739"/>
      <c r="H6" s="739"/>
      <c r="I6" s="739">
        <f>ROUND('Annex 2. Ms, SFs, Short term '!C60,2)</f>
        <v>142.77000000000001</v>
      </c>
      <c r="J6" s="739"/>
      <c r="K6" s="739"/>
      <c r="L6" s="739">
        <f>ROUND('Annex 2. Ms, SFs, Short term '!C61,2)</f>
        <v>142.77000000000001</v>
      </c>
      <c r="M6" s="739"/>
      <c r="N6" s="739"/>
      <c r="O6" s="725">
        <f>ROUND('Annex 2. Prices 2024'!F121,2)</f>
        <v>142.77000000000001</v>
      </c>
      <c r="P6" s="739"/>
      <c r="Q6" s="739"/>
      <c r="R6" s="729">
        <f>'Annex 2. Ms, SFs, Short term '!C62</f>
        <v>142.77000000000001</v>
      </c>
      <c r="S6" s="729"/>
      <c r="T6" s="729"/>
      <c r="U6" s="728">
        <f>ROUND(R6/'Annex 2. Ms, SFs, Short term '!T12/1000*24,6)</f>
        <v>3.8999999999999999E-4</v>
      </c>
      <c r="V6" s="728"/>
      <c r="W6" s="728"/>
      <c r="X6" s="728"/>
      <c r="Y6" s="728"/>
      <c r="Z6" s="739">
        <f>ROUND('Annex 2. Ms, SFs, Short term '!C66,2)</f>
        <v>107.93</v>
      </c>
      <c r="AA6" s="739"/>
      <c r="AB6" s="739">
        <f>ROUND('Annex 2. Ms, SFs, Short term '!C67,2)</f>
        <v>70.28</v>
      </c>
      <c r="AC6" s="739"/>
      <c r="AD6" s="739">
        <f>ROUND('Annex 2. Ms, SFs, Short term '!C63,2)</f>
        <v>109.27</v>
      </c>
      <c r="AE6" s="739"/>
      <c r="AF6" s="739"/>
      <c r="AG6" s="739">
        <f>ROUND('Annex 2. Ms, SFs, Short term '!C64,2)</f>
        <v>40.549999999999997</v>
      </c>
      <c r="AH6" s="739"/>
      <c r="AI6" s="739">
        <f>'Annex 2. Ms, SFs, Short term '!C65</f>
        <v>109.27</v>
      </c>
      <c r="AJ6" s="739"/>
      <c r="AK6" s="739"/>
      <c r="AL6" s="744">
        <f>ROUND(AI6/'Annex 2. Ms, SFs, Short term '!T12/1000*24,6)</f>
        <v>2.99E-4</v>
      </c>
      <c r="AM6" s="745"/>
      <c r="AN6" s="745"/>
      <c r="AO6" s="745"/>
      <c r="AP6" s="745"/>
      <c r="AQ6" s="746"/>
    </row>
    <row r="7" spans="1:43" x14ac:dyDescent="0.25">
      <c r="A7" s="722" t="s">
        <v>215</v>
      </c>
      <c r="B7" s="723"/>
      <c r="C7" s="723"/>
      <c r="D7" s="723"/>
      <c r="E7" s="723"/>
      <c r="F7" s="723"/>
      <c r="G7" s="723"/>
      <c r="H7" s="723"/>
      <c r="I7" s="723"/>
      <c r="J7" s="723"/>
      <c r="K7" s="723"/>
      <c r="L7" s="723"/>
      <c r="M7" s="723"/>
      <c r="N7" s="723"/>
      <c r="O7" s="723"/>
      <c r="P7" s="723"/>
      <c r="Q7" s="723"/>
      <c r="R7" s="723"/>
      <c r="S7" s="723"/>
      <c r="T7" s="723"/>
      <c r="U7" s="723"/>
      <c r="V7" s="723"/>
      <c r="W7" s="723"/>
      <c r="X7" s="723"/>
      <c r="Y7" s="723"/>
      <c r="Z7" s="723"/>
      <c r="AA7" s="723"/>
      <c r="AB7" s="723"/>
      <c r="AC7" s="723"/>
      <c r="AD7" s="723"/>
      <c r="AE7" s="723"/>
      <c r="AF7" s="723"/>
      <c r="AG7" s="723"/>
      <c r="AH7" s="723"/>
      <c r="AI7" s="723"/>
      <c r="AJ7" s="723"/>
      <c r="AK7" s="723"/>
      <c r="AL7" s="723"/>
      <c r="AM7" s="723"/>
      <c r="AN7" s="723"/>
      <c r="AO7" s="723"/>
      <c r="AP7" s="723"/>
      <c r="AQ7" s="724"/>
    </row>
    <row r="8" spans="1:43" ht="28.5" customHeight="1" x14ac:dyDescent="0.25">
      <c r="A8" s="720" t="s">
        <v>185</v>
      </c>
      <c r="B8" s="720"/>
      <c r="C8" s="730" t="s">
        <v>192</v>
      </c>
      <c r="D8" s="730"/>
      <c r="E8" s="730"/>
      <c r="F8" s="730"/>
      <c r="G8" s="730"/>
      <c r="H8" s="730"/>
      <c r="I8" s="730"/>
      <c r="J8" s="730"/>
      <c r="K8" s="730"/>
      <c r="L8" s="730"/>
      <c r="M8" s="730"/>
      <c r="N8" s="730"/>
      <c r="O8" s="730"/>
      <c r="P8" s="730"/>
      <c r="Q8" s="730"/>
      <c r="R8" s="730"/>
      <c r="S8" s="730"/>
      <c r="T8" s="730"/>
      <c r="U8" s="719" t="s">
        <v>183</v>
      </c>
      <c r="V8" s="719"/>
      <c r="W8" s="719"/>
      <c r="X8" s="719"/>
      <c r="Y8" s="719"/>
      <c r="Z8" s="730" t="s">
        <v>192</v>
      </c>
      <c r="AA8" s="730"/>
      <c r="AB8" s="730"/>
      <c r="AC8" s="730"/>
      <c r="AD8" s="730"/>
      <c r="AE8" s="730"/>
      <c r="AF8" s="730"/>
      <c r="AG8" s="730"/>
      <c r="AH8" s="730"/>
      <c r="AI8" s="730"/>
      <c r="AJ8" s="730"/>
      <c r="AK8" s="730"/>
      <c r="AL8" s="741" t="s">
        <v>183</v>
      </c>
      <c r="AM8" s="742"/>
      <c r="AN8" s="742"/>
      <c r="AO8" s="742"/>
      <c r="AP8" s="742"/>
      <c r="AQ8" s="743"/>
    </row>
    <row r="9" spans="1:43" ht="15" customHeight="1" x14ac:dyDescent="0.25">
      <c r="A9" s="720" t="s">
        <v>188</v>
      </c>
      <c r="B9" s="720"/>
      <c r="C9" s="740">
        <f>ROUND('Annex 2. Ms, SFs, Short term '!D58,2)</f>
        <v>39.049999999999997</v>
      </c>
      <c r="D9" s="740"/>
      <c r="E9" s="740"/>
      <c r="F9" s="740">
        <f>ROUND('Annex 2. Ms, SFs, Short term '!D59,2)</f>
        <v>9.83</v>
      </c>
      <c r="G9" s="740"/>
      <c r="H9" s="740"/>
      <c r="I9" s="740">
        <f>ROUND('Annex 2. Ms, SFs, Short term '!D60,2)</f>
        <v>39.049999999999997</v>
      </c>
      <c r="J9" s="740"/>
      <c r="K9" s="740"/>
      <c r="L9" s="740">
        <f>ROUND('Annex 2. Ms, SFs, Short term '!D61,2)</f>
        <v>39.049999999999997</v>
      </c>
      <c r="M9" s="740"/>
      <c r="N9" s="740"/>
      <c r="O9" s="740">
        <f>+I9</f>
        <v>39.049999999999997</v>
      </c>
      <c r="P9" s="740"/>
      <c r="Q9" s="740"/>
      <c r="R9" s="740">
        <f>'Annex 2. Ms, SFs, Short term '!D62</f>
        <v>39.04720491803279</v>
      </c>
      <c r="S9" s="740"/>
      <c r="T9" s="740"/>
      <c r="U9" s="728">
        <f>ROUND(R9/'Annex 2. Ms, SFs, Short term '!U12/1000*24,6)</f>
        <v>4.2900000000000002E-4</v>
      </c>
      <c r="V9" s="728"/>
      <c r="W9" s="728"/>
      <c r="X9" s="728"/>
      <c r="Y9" s="728"/>
      <c r="Z9" s="740">
        <f>ROUND('Annex 2. Ms, SFs, Short term '!D66,2)</f>
        <v>50.32</v>
      </c>
      <c r="AA9" s="740"/>
      <c r="AB9" s="740">
        <f>ROUND('Annex 2. Ms, SFs, Short term '!D67,2)</f>
        <v>32.76</v>
      </c>
      <c r="AC9" s="740"/>
      <c r="AD9" s="740">
        <f>ROUND('Annex 2. Ms, SFs, Short term '!D63,2)</f>
        <v>29.89</v>
      </c>
      <c r="AE9" s="740"/>
      <c r="AF9" s="740"/>
      <c r="AG9" s="740">
        <f>ROUND('Annex 2. Ms, SFs, Short term '!D64,2)</f>
        <v>18.899999999999999</v>
      </c>
      <c r="AH9" s="740"/>
      <c r="AI9" s="740">
        <f>'Annex 2. Ms, SFs, Short term '!D65</f>
        <v>29.885046448087429</v>
      </c>
      <c r="AJ9" s="740"/>
      <c r="AK9" s="740"/>
      <c r="AL9" s="744">
        <f>ROUND(AI9/'Annex 2. Ms, SFs, Short term '!U12/1000*24,6)</f>
        <v>3.28E-4</v>
      </c>
      <c r="AM9" s="745"/>
      <c r="AN9" s="745"/>
      <c r="AO9" s="745"/>
      <c r="AP9" s="745"/>
      <c r="AQ9" s="746"/>
    </row>
    <row r="10" spans="1:43" ht="15" customHeight="1" x14ac:dyDescent="0.25">
      <c r="A10" s="720" t="s">
        <v>189</v>
      </c>
      <c r="B10" s="720"/>
      <c r="C10" s="740">
        <f>ROUND('Annex 2. Ms, SFs, Short term '!E58,2)</f>
        <v>39.049999999999997</v>
      </c>
      <c r="D10" s="740"/>
      <c r="E10" s="740"/>
      <c r="F10" s="740">
        <f>ROUND('Annex 2. Ms, SFs, Short term '!E59,2)</f>
        <v>9.83</v>
      </c>
      <c r="G10" s="740"/>
      <c r="H10" s="740"/>
      <c r="I10" s="740">
        <f>ROUND('Annex 2. Ms, SFs, Short term '!E60,2)</f>
        <v>39.049999999999997</v>
      </c>
      <c r="J10" s="740"/>
      <c r="K10" s="740"/>
      <c r="L10" s="740">
        <f>ROUND('Annex 2. Ms, SFs, Short term '!E61,2)</f>
        <v>39.049999999999997</v>
      </c>
      <c r="M10" s="740"/>
      <c r="N10" s="740"/>
      <c r="O10" s="740">
        <f t="shared" ref="O10:O12" si="0">+I10</f>
        <v>39.049999999999997</v>
      </c>
      <c r="P10" s="740"/>
      <c r="Q10" s="740"/>
      <c r="R10" s="740">
        <f>'Annex 2. Ms, SFs, Short term '!E62</f>
        <v>39.04720491803279</v>
      </c>
      <c r="S10" s="740"/>
      <c r="T10" s="740"/>
      <c r="U10" s="728">
        <f>ROUND(R10/'Annex 2. Ms, SFs, Short term '!V12/1000*24,6)</f>
        <v>4.2900000000000002E-4</v>
      </c>
      <c r="V10" s="728"/>
      <c r="W10" s="728"/>
      <c r="X10" s="728"/>
      <c r="Y10" s="728"/>
      <c r="Z10" s="740">
        <f>ROUND('Annex 2. Ms, SFs, Short term '!E66,2)</f>
        <v>23.48</v>
      </c>
      <c r="AA10" s="740"/>
      <c r="AB10" s="740">
        <f>ROUND('Annex 2. Ms, SFs, Short term '!E67,2)</f>
        <v>15.29</v>
      </c>
      <c r="AC10" s="740"/>
      <c r="AD10" s="740">
        <f>ROUND('Annex 2. Ms, SFs, Short term '!E63,2)</f>
        <v>29.89</v>
      </c>
      <c r="AE10" s="740"/>
      <c r="AF10" s="740"/>
      <c r="AG10" s="740">
        <f>ROUND('Annex 2. Ms, SFs, Short term '!E64,2)</f>
        <v>8.82</v>
      </c>
      <c r="AH10" s="740"/>
      <c r="AI10" s="740">
        <f>'Annex 2. Ms, SFs, Short term '!E65</f>
        <v>29.885046448087429</v>
      </c>
      <c r="AJ10" s="740"/>
      <c r="AK10" s="740"/>
      <c r="AL10" s="744">
        <f>ROUND(AI10/'Annex 2. Ms, SFs, Short term '!V12/1000*24,6)</f>
        <v>3.28E-4</v>
      </c>
      <c r="AM10" s="745"/>
      <c r="AN10" s="745"/>
      <c r="AO10" s="745"/>
      <c r="AP10" s="745"/>
      <c r="AQ10" s="746"/>
    </row>
    <row r="11" spans="1:43" ht="15" customHeight="1" x14ac:dyDescent="0.25">
      <c r="A11" s="720" t="s">
        <v>190</v>
      </c>
      <c r="B11" s="720"/>
      <c r="C11" s="740">
        <f>ROUND('Annex 2. Ms, SFs, Short term '!F58,2)</f>
        <v>39.479999999999997</v>
      </c>
      <c r="D11" s="740"/>
      <c r="E11" s="740"/>
      <c r="F11" s="740">
        <f>ROUND('Annex 2. Ms, SFs, Short term '!F59,2)</f>
        <v>9.94</v>
      </c>
      <c r="G11" s="740"/>
      <c r="H11" s="740"/>
      <c r="I11" s="740">
        <f>ROUND('Annex 2. Ms, SFs, Short term '!F60,2)</f>
        <v>39.479999999999997</v>
      </c>
      <c r="J11" s="740"/>
      <c r="K11" s="740"/>
      <c r="L11" s="740">
        <f>ROUND('Annex 2. Ms, SFs, Short term '!F61,2)</f>
        <v>39.479999999999997</v>
      </c>
      <c r="M11" s="740"/>
      <c r="N11" s="740"/>
      <c r="O11" s="740">
        <f t="shared" si="0"/>
        <v>39.479999999999997</v>
      </c>
      <c r="P11" s="740"/>
      <c r="Q11" s="740"/>
      <c r="R11" s="740">
        <f>'Annex 2. Ms, SFs, Short term '!F62</f>
        <v>39.476295081967223</v>
      </c>
      <c r="S11" s="740"/>
      <c r="T11" s="740"/>
      <c r="U11" s="728">
        <f>ROUND(R11/'Annex 2. Ms, SFs, Short term '!W12/1000*24,6)</f>
        <v>4.2900000000000002E-4</v>
      </c>
      <c r="V11" s="728"/>
      <c r="W11" s="728"/>
      <c r="X11" s="728"/>
      <c r="Y11" s="728"/>
      <c r="Z11" s="740">
        <f>ROUND('Annex 2. Ms, SFs, Short term '!F66,2)</f>
        <v>16.62</v>
      </c>
      <c r="AA11" s="740"/>
      <c r="AB11" s="740">
        <f>ROUND('Annex 2. Ms, SFs, Short term '!F67,2)</f>
        <v>10.82</v>
      </c>
      <c r="AC11" s="740"/>
      <c r="AD11" s="740">
        <f>ROUND('Annex 2. Ms, SFs, Short term '!F63,2)</f>
        <v>30.21</v>
      </c>
      <c r="AE11" s="740"/>
      <c r="AF11" s="740"/>
      <c r="AG11" s="740">
        <f>ROUND('Annex 2. Ms, SFs, Short term '!F64,2)</f>
        <v>6.24</v>
      </c>
      <c r="AH11" s="740"/>
      <c r="AI11" s="740">
        <f>'Annex 2. Ms, SFs, Short term '!F65</f>
        <v>30.213453551912572</v>
      </c>
      <c r="AJ11" s="740"/>
      <c r="AK11" s="740"/>
      <c r="AL11" s="744">
        <f>ROUND(AI11/'Annex 2. Ms, SFs, Short term '!W12/1000*24,6)</f>
        <v>3.28E-4</v>
      </c>
      <c r="AM11" s="745"/>
      <c r="AN11" s="745"/>
      <c r="AO11" s="745"/>
      <c r="AP11" s="745"/>
      <c r="AQ11" s="746"/>
    </row>
    <row r="12" spans="1:43" ht="15" customHeight="1" x14ac:dyDescent="0.25">
      <c r="A12" s="720" t="s">
        <v>191</v>
      </c>
      <c r="B12" s="720"/>
      <c r="C12" s="740">
        <f>ROUND('Annex 2. Ms, SFs, Short term '!G58,2)</f>
        <v>39.479999999999997</v>
      </c>
      <c r="D12" s="740"/>
      <c r="E12" s="740"/>
      <c r="F12" s="740">
        <f>ROUND('Annex 2. Ms, SFs, Short term '!G59,2)</f>
        <v>9.94</v>
      </c>
      <c r="G12" s="740"/>
      <c r="H12" s="740"/>
      <c r="I12" s="740">
        <f>ROUND('Annex 2. Ms, SFs, Short term '!G60,2)</f>
        <v>39.479999999999997</v>
      </c>
      <c r="J12" s="740"/>
      <c r="K12" s="740"/>
      <c r="L12" s="740">
        <f>ROUND('Annex 2. Ms, SFs, Short term '!G61,2)</f>
        <v>39.479999999999997</v>
      </c>
      <c r="M12" s="740"/>
      <c r="N12" s="740"/>
      <c r="O12" s="740">
        <f t="shared" si="0"/>
        <v>39.479999999999997</v>
      </c>
      <c r="P12" s="740"/>
      <c r="Q12" s="740"/>
      <c r="R12" s="740">
        <f>'Annex 2. Ms, SFs, Short term '!G62</f>
        <v>39.476295081967223</v>
      </c>
      <c r="S12" s="740"/>
      <c r="T12" s="740"/>
      <c r="U12" s="728">
        <f>ROUND(R12/'Annex 2. Ms, SFs, Short term '!X12/1000*24,6)</f>
        <v>4.2900000000000002E-4</v>
      </c>
      <c r="V12" s="728"/>
      <c r="W12" s="728"/>
      <c r="X12" s="728"/>
      <c r="Y12" s="728"/>
      <c r="Z12" s="740">
        <f>ROUND('Annex 2. Ms, SFs, Short term '!G66,2)</f>
        <v>44.43</v>
      </c>
      <c r="AA12" s="740"/>
      <c r="AB12" s="740">
        <f>ROUND('Annex 2. Ms, SFs, Short term '!G67,2)</f>
        <v>28.93</v>
      </c>
      <c r="AC12" s="740"/>
      <c r="AD12" s="740">
        <f>ROUND('Annex 2. Ms, SFs, Short term '!G63,2)</f>
        <v>30.21</v>
      </c>
      <c r="AE12" s="740"/>
      <c r="AF12" s="740"/>
      <c r="AG12" s="740">
        <f>ROUND('Annex 2. Ms, SFs, Short term '!G64,2)</f>
        <v>16.690000000000001</v>
      </c>
      <c r="AH12" s="740"/>
      <c r="AI12" s="740">
        <f>'Annex 2. Ms, SFs, Short term '!G65</f>
        <v>30.213453551912572</v>
      </c>
      <c r="AJ12" s="740"/>
      <c r="AK12" s="740"/>
      <c r="AL12" s="744">
        <f>ROUND(AI12/'Annex 2. Ms, SFs, Short term '!X12/1000*24,6)</f>
        <v>3.28E-4</v>
      </c>
      <c r="AM12" s="745"/>
      <c r="AN12" s="745"/>
      <c r="AO12" s="745"/>
      <c r="AP12" s="745"/>
      <c r="AQ12" s="746"/>
    </row>
    <row r="13" spans="1:43" ht="28.5" customHeight="1" x14ac:dyDescent="0.25">
      <c r="A13" s="748" t="s">
        <v>193</v>
      </c>
      <c r="B13" s="749"/>
      <c r="C13" s="749"/>
      <c r="D13" s="749"/>
      <c r="E13" s="749"/>
      <c r="F13" s="749"/>
      <c r="G13" s="749"/>
      <c r="H13" s="749"/>
      <c r="I13" s="749"/>
      <c r="J13" s="749"/>
      <c r="K13" s="749"/>
      <c r="L13" s="749"/>
      <c r="M13" s="749"/>
      <c r="N13" s="749"/>
      <c r="O13" s="749"/>
      <c r="P13" s="749"/>
      <c r="Q13" s="749"/>
      <c r="R13" s="749"/>
      <c r="S13" s="749"/>
      <c r="T13" s="749"/>
      <c r="U13" s="749"/>
      <c r="V13" s="749"/>
      <c r="W13" s="749"/>
      <c r="X13" s="749"/>
      <c r="Y13" s="749"/>
      <c r="Z13" s="749"/>
      <c r="AA13" s="749"/>
      <c r="AB13" s="749"/>
      <c r="AC13" s="749"/>
      <c r="AD13" s="749"/>
      <c r="AE13" s="749"/>
      <c r="AF13" s="749"/>
      <c r="AG13" s="749"/>
      <c r="AH13" s="749"/>
      <c r="AI13" s="749"/>
      <c r="AJ13" s="749"/>
      <c r="AK13" s="749"/>
      <c r="AL13" s="749"/>
      <c r="AM13" s="749"/>
      <c r="AN13" s="749"/>
      <c r="AO13" s="749"/>
      <c r="AP13" s="749"/>
      <c r="AQ13" s="750"/>
    </row>
    <row r="14" spans="1:43" ht="33.950000000000003" customHeight="1" x14ac:dyDescent="0.25">
      <c r="A14" s="752"/>
      <c r="B14" s="752"/>
      <c r="C14" s="175" t="s">
        <v>5</v>
      </c>
      <c r="D14" s="175" t="s">
        <v>52</v>
      </c>
      <c r="E14" s="175" t="s">
        <v>53</v>
      </c>
      <c r="F14" s="175" t="s">
        <v>5</v>
      </c>
      <c r="G14" s="175" t="s">
        <v>52</v>
      </c>
      <c r="H14" s="175" t="s">
        <v>53</v>
      </c>
      <c r="I14" s="175" t="s">
        <v>5</v>
      </c>
      <c r="J14" s="175" t="s">
        <v>52</v>
      </c>
      <c r="K14" s="175" t="s">
        <v>53</v>
      </c>
      <c r="L14" s="175" t="s">
        <v>5</v>
      </c>
      <c r="M14" s="175" t="s">
        <v>52</v>
      </c>
      <c r="N14" s="175" t="s">
        <v>53</v>
      </c>
      <c r="O14" s="175" t="s">
        <v>5</v>
      </c>
      <c r="P14" s="175" t="s">
        <v>52</v>
      </c>
      <c r="Q14" s="175" t="s">
        <v>53</v>
      </c>
      <c r="R14" s="175" t="s">
        <v>5</v>
      </c>
      <c r="S14" s="175" t="s">
        <v>52</v>
      </c>
      <c r="T14" s="175" t="s">
        <v>53</v>
      </c>
      <c r="U14" s="727" t="s">
        <v>194</v>
      </c>
      <c r="V14" s="727"/>
      <c r="W14" s="727"/>
      <c r="X14" s="727"/>
      <c r="Y14" s="727"/>
      <c r="Z14" s="175" t="s">
        <v>5</v>
      </c>
      <c r="AA14" s="175" t="s">
        <v>54</v>
      </c>
      <c r="AB14" s="175" t="s">
        <v>5</v>
      </c>
      <c r="AC14" s="175" t="s">
        <v>54</v>
      </c>
      <c r="AD14" s="175" t="s">
        <v>5</v>
      </c>
      <c r="AE14" s="175" t="s">
        <v>52</v>
      </c>
      <c r="AF14" s="175" t="s">
        <v>53</v>
      </c>
      <c r="AG14" s="175" t="s">
        <v>5</v>
      </c>
      <c r="AH14" s="175" t="s">
        <v>54</v>
      </c>
      <c r="AI14" s="175" t="s">
        <v>5</v>
      </c>
      <c r="AJ14" s="175" t="s">
        <v>52</v>
      </c>
      <c r="AK14" s="175" t="s">
        <v>53</v>
      </c>
      <c r="AL14" s="727" t="s">
        <v>216</v>
      </c>
      <c r="AM14" s="727"/>
      <c r="AN14" s="727"/>
      <c r="AO14" s="727"/>
      <c r="AP14" s="727"/>
      <c r="AQ14" s="727"/>
    </row>
    <row r="15" spans="1:43" ht="15" customHeight="1" x14ac:dyDescent="0.25">
      <c r="A15" s="751" t="s">
        <v>196</v>
      </c>
      <c r="B15" s="751"/>
      <c r="C15" s="493">
        <f t="array" ref="C15:C26">ROUND(TRANSPOSE('Annex 2. Ms, SFs, Short term '!H58:S58),2)</f>
        <v>15.12</v>
      </c>
      <c r="D15" s="493">
        <f t="array" ref="D15:D26">ROUND(TRANSPOSE('Annex 2. Ms, SFs, Short term '!T58:AE58),2)</f>
        <v>0.59</v>
      </c>
      <c r="E15" s="493">
        <f t="array" ref="E15:E26">ROUND(TRANSPOSE('Annex 2. Ms, SFs, Short term '!AF58:AQ58),2)</f>
        <v>0.66</v>
      </c>
      <c r="F15" s="493">
        <f t="array" ref="F15:F26">ROUND(TRANSPOSE('Annex 2. Ms, SFs, Short term '!H59:S59),2)</f>
        <v>3.81</v>
      </c>
      <c r="G15" s="493">
        <f t="array" ref="G15:G26">ROUND(TRANSPOSE('Annex 2. Ms, SFs, Short term '!T59:AE59),2)</f>
        <v>0.15</v>
      </c>
      <c r="H15" s="493">
        <f t="array" ref="H15:H26">ROUND(TRANSPOSE('Annex 2. Ms, SFs, Short term '!AF59:AQ59),2)</f>
        <v>0.17</v>
      </c>
      <c r="I15" s="493">
        <f t="array" ref="I15:I26">ROUND(TRANSPOSE('Annex 2. Ms, SFs, Short term '!H60:S60),2)</f>
        <v>15.12</v>
      </c>
      <c r="J15" s="493">
        <f t="array" ref="J15:J26">ROUND(TRANSPOSE('Annex 2. Ms, SFs, Short term '!T60:AE60),2)</f>
        <v>0.59</v>
      </c>
      <c r="K15" s="493">
        <f t="array" ref="K15:K26">ROUND(TRANSPOSE('Annex 2. Ms, SFs, Short term '!AF60:AQ60),2)</f>
        <v>0.66</v>
      </c>
      <c r="L15" s="493">
        <f t="array" ref="L15:L26">ROUND(TRANSPOSE('Annex 2. Ms, SFs, Short term '!H61:S61),2)</f>
        <v>15.12</v>
      </c>
      <c r="M15" s="493">
        <f t="array" ref="M15:M26">ROUND(TRANSPOSE('Annex 2. Ms, SFs, Short term '!T61:AE61),2)</f>
        <v>0.59</v>
      </c>
      <c r="N15" s="493">
        <f t="array" ref="N15:N26">ROUND(TRANSPOSE('Annex 2. Ms, SFs, Short term '!AF61:AQ61),2)</f>
        <v>0.66</v>
      </c>
      <c r="O15" s="493">
        <f>+I15</f>
        <v>15.12</v>
      </c>
      <c r="P15" s="493">
        <f>+J15</f>
        <v>0.59</v>
      </c>
      <c r="Q15" s="493">
        <f>+K15</f>
        <v>0.66</v>
      </c>
      <c r="R15" s="493">
        <f t="array" ref="R15:R26">TRANSPOSE('Annex 2. Ms, SFs, Short term '!H62:S62)</f>
        <v>15.115676229508196</v>
      </c>
      <c r="S15" s="493">
        <f t="array" ref="S15:S26">TRANSPOSE('Annex 2. Ms, SFs, Short term '!T62:AE62)</f>
        <v>0.58512295081967225</v>
      </c>
      <c r="T15" s="493" cm="1">
        <f t="array" ref="T15:T26">TRANSPOSE('Annex 2. Ms, SFs, Short term '!AF62:AQ62)</f>
        <v>0.66313934426229515</v>
      </c>
      <c r="U15" s="726">
        <f>ROUND(R15/'Annex 2. Ms, SFs, Short term '!Y12/1000*24,6)</f>
        <v>4.8799999999999999E-4</v>
      </c>
      <c r="V15" s="726"/>
      <c r="W15" s="726">
        <f>ROUND(S15/1000,6)</f>
        <v>5.8500000000000002E-4</v>
      </c>
      <c r="X15" s="726"/>
      <c r="Y15" s="492">
        <f>ROUND(T15/1000,6)</f>
        <v>6.6299999999999996E-4</v>
      </c>
      <c r="Z15" s="493">
        <f t="array" ref="Z15:Z26">ROUND(TRANSPOSE('Annex 2. Ms, SFs, Short term '!H66:S66),2)</f>
        <v>23.72</v>
      </c>
      <c r="AA15" s="493">
        <f t="array" ref="AA15:AA26">ROUND(TRANSPOSE('Annex 2. Ms, SFs, Short term '!T66:AE66),2)</f>
        <v>1.53</v>
      </c>
      <c r="AB15" s="493">
        <f t="array" ref="AB15:AB26">ROUND(TRANSPOSE('Annex 2. Ms, SFs, Short term '!H67:S67),2)</f>
        <v>15.45</v>
      </c>
      <c r="AC15" s="493">
        <f t="array" ref="AC15:AC26">ROUND(TRANSPOSE('Annex 2. Ms, SFs, Short term '!T67:AE67),2)</f>
        <v>1</v>
      </c>
      <c r="AD15" s="493">
        <f t="array" ref="AD15:AD26">ROUND(TRANSPOSE('Annex 2. Ms, SFs, Short term '!H63:S63),2)</f>
        <v>11.57</v>
      </c>
      <c r="AE15" s="493">
        <f t="array" ref="AE15:AE26">ROUND(TRANSPOSE('Annex 2. Ms, SFs, Short term '!T63:AE63),2)</f>
        <v>0.45</v>
      </c>
      <c r="AF15" s="493">
        <f t="array" ref="AF15:AF26">ROUND(TRANSPOSE('Annex 2. Ms, SFs, Short term '!AF63:AQ63),2)</f>
        <v>0.51</v>
      </c>
      <c r="AG15" s="493">
        <f t="array" ref="AG15:AG26">ROUND(TRANSPOSE('Annex 2. Ms, SFs, Short term '!H64:S64),2)</f>
        <v>8.91</v>
      </c>
      <c r="AH15" s="493">
        <f t="array" ref="AH15:AH26">ROUND(TRANSPOSE('Annex 2. Ms, SFs, Short term '!T64:AE64),2)</f>
        <v>0.57999999999999996</v>
      </c>
      <c r="AI15" s="493">
        <f t="array" ref="AI15:AI26">TRANSPOSE('Annex 2. Ms, SFs, Short term '!H65:S65)</f>
        <v>11.568886612021856</v>
      </c>
      <c r="AJ15" s="493">
        <f t="array" ref="AJ15:AJ26">TRANSPOSE('Annex 2. Ms, SFs, Short term '!T65:AE65)</f>
        <v>0.44782786885245901</v>
      </c>
      <c r="AK15" s="493" cm="1">
        <f t="array" ref="AK15:AK26">TRANSPOSE('Annex 2. Ms, SFs, Short term '!AF65:AQ65)</f>
        <v>0.50753825136612019</v>
      </c>
      <c r="AL15" s="726">
        <f>ROUND(AI15/'Annex 2. Ms, SFs, Short term '!Y12/1000*24,6)</f>
        <v>3.7300000000000001E-4</v>
      </c>
      <c r="AM15" s="726"/>
      <c r="AN15" s="726">
        <f>ROUND(AJ15/1000,6)</f>
        <v>4.4799999999999999E-4</v>
      </c>
      <c r="AO15" s="726"/>
      <c r="AP15" s="726">
        <f>ROUND(AK15/1000,6)</f>
        <v>5.0799999999999999E-4</v>
      </c>
      <c r="AQ15" s="726"/>
    </row>
    <row r="16" spans="1:43" ht="15" customHeight="1" x14ac:dyDescent="0.25">
      <c r="A16" s="751" t="s">
        <v>197</v>
      </c>
      <c r="B16" s="751"/>
      <c r="C16" s="493">
        <v>14.14</v>
      </c>
      <c r="D16" s="493">
        <v>0.59</v>
      </c>
      <c r="E16" s="493">
        <v>0.66</v>
      </c>
      <c r="F16" s="493">
        <v>3.56</v>
      </c>
      <c r="G16" s="493">
        <v>0.15</v>
      </c>
      <c r="H16" s="493">
        <v>0.17</v>
      </c>
      <c r="I16" s="493">
        <v>14.14</v>
      </c>
      <c r="J16" s="493">
        <v>0.59</v>
      </c>
      <c r="K16" s="493">
        <v>0.66</v>
      </c>
      <c r="L16" s="493">
        <v>14.14</v>
      </c>
      <c r="M16" s="493">
        <v>0.59</v>
      </c>
      <c r="N16" s="493">
        <v>0.66</v>
      </c>
      <c r="O16" s="493">
        <f t="shared" ref="O16:O26" si="1">+I16</f>
        <v>14.14</v>
      </c>
      <c r="P16" s="493">
        <f t="shared" ref="P16:P26" si="2">+J16</f>
        <v>0.59</v>
      </c>
      <c r="Q16" s="493">
        <f t="shared" ref="Q16:Q26" si="3">+K16</f>
        <v>0.66</v>
      </c>
      <c r="R16" s="493">
        <v>14.140471311475411</v>
      </c>
      <c r="S16" s="493">
        <v>0.58512295081967225</v>
      </c>
      <c r="T16" s="493">
        <v>0.66313934426229515</v>
      </c>
      <c r="U16" s="726">
        <f>ROUND(R16/'Annex 2. Ms, SFs, Short term '!Z12/1000*24,6)</f>
        <v>4.8799999999999999E-4</v>
      </c>
      <c r="V16" s="726"/>
      <c r="W16" s="726">
        <f t="shared" ref="W16:W26" si="4">ROUND(S16/1000,6)</f>
        <v>5.8500000000000002E-4</v>
      </c>
      <c r="X16" s="726"/>
      <c r="Y16" s="492">
        <f t="shared" ref="Y16:Y26" si="5">ROUND(T16/1000,6)</f>
        <v>6.6299999999999996E-4</v>
      </c>
      <c r="Z16" s="493">
        <v>17.45</v>
      </c>
      <c r="AA16" s="493">
        <v>1.2</v>
      </c>
      <c r="AB16" s="493">
        <v>11.36</v>
      </c>
      <c r="AC16" s="493">
        <v>0.78</v>
      </c>
      <c r="AD16" s="493">
        <v>10.82</v>
      </c>
      <c r="AE16" s="493">
        <v>0.45</v>
      </c>
      <c r="AF16" s="493">
        <v>0.51</v>
      </c>
      <c r="AG16" s="493">
        <v>6.55</v>
      </c>
      <c r="AH16" s="493">
        <v>0.45</v>
      </c>
      <c r="AI16" s="493">
        <v>10.822506830601093</v>
      </c>
      <c r="AJ16" s="493">
        <v>0.44782786885245901</v>
      </c>
      <c r="AK16" s="493">
        <v>0.50753825136612019</v>
      </c>
      <c r="AL16" s="726">
        <f>ROUND(AI16/'Annex 2. Ms, SFs, Short term '!Z12/1000*24,6)</f>
        <v>3.7300000000000001E-4</v>
      </c>
      <c r="AM16" s="726"/>
      <c r="AN16" s="726">
        <f t="shared" ref="AN16:AN26" si="6">ROUND(AJ16/1000,6)</f>
        <v>4.4799999999999999E-4</v>
      </c>
      <c r="AO16" s="726"/>
      <c r="AP16" s="726">
        <f t="shared" ref="AP16:AP26" si="7">ROUND(AK16/1000,6)</f>
        <v>5.0799999999999999E-4</v>
      </c>
      <c r="AQ16" s="726"/>
    </row>
    <row r="17" spans="1:43" ht="15" customHeight="1" x14ac:dyDescent="0.25">
      <c r="A17" s="751" t="s">
        <v>198</v>
      </c>
      <c r="B17" s="751"/>
      <c r="C17" s="493">
        <v>15.12</v>
      </c>
      <c r="D17" s="493">
        <v>0.59</v>
      </c>
      <c r="E17" s="493">
        <v>0.66</v>
      </c>
      <c r="F17" s="493">
        <v>3.81</v>
      </c>
      <c r="G17" s="493">
        <v>0.15</v>
      </c>
      <c r="H17" s="493">
        <v>0.17</v>
      </c>
      <c r="I17" s="493">
        <v>15.12</v>
      </c>
      <c r="J17" s="493">
        <v>0.59</v>
      </c>
      <c r="K17" s="493">
        <v>0.66</v>
      </c>
      <c r="L17" s="493">
        <v>15.12</v>
      </c>
      <c r="M17" s="493">
        <v>0.59</v>
      </c>
      <c r="N17" s="493">
        <v>0.66</v>
      </c>
      <c r="O17" s="493">
        <f t="shared" si="1"/>
        <v>15.12</v>
      </c>
      <c r="P17" s="493">
        <f t="shared" si="2"/>
        <v>0.59</v>
      </c>
      <c r="Q17" s="493">
        <f t="shared" si="3"/>
        <v>0.66</v>
      </c>
      <c r="R17" s="493">
        <v>15.115676229508196</v>
      </c>
      <c r="S17" s="493">
        <v>0.58512295081967225</v>
      </c>
      <c r="T17" s="493">
        <v>0.66313934426229515</v>
      </c>
      <c r="U17" s="726">
        <f>ROUND(R17/'Annex 2. Ms, SFs, Short term '!AA12/1000*24,6)</f>
        <v>4.8799999999999999E-4</v>
      </c>
      <c r="V17" s="726"/>
      <c r="W17" s="726">
        <f t="shared" si="4"/>
        <v>5.8500000000000002E-4</v>
      </c>
      <c r="X17" s="726"/>
      <c r="Y17" s="492">
        <f t="shared" si="5"/>
        <v>6.6299999999999996E-4</v>
      </c>
      <c r="Z17" s="493">
        <v>19.059999999999999</v>
      </c>
      <c r="AA17" s="493">
        <v>1.23</v>
      </c>
      <c r="AB17" s="493">
        <v>12.41</v>
      </c>
      <c r="AC17" s="493">
        <v>0.8</v>
      </c>
      <c r="AD17" s="493">
        <v>11.57</v>
      </c>
      <c r="AE17" s="493">
        <v>0.45</v>
      </c>
      <c r="AF17" s="493">
        <v>0.51</v>
      </c>
      <c r="AG17" s="493">
        <v>7.16</v>
      </c>
      <c r="AH17" s="493">
        <v>0.46</v>
      </c>
      <c r="AI17" s="493">
        <v>11.568886612021856</v>
      </c>
      <c r="AJ17" s="493">
        <v>0.44782786885245901</v>
      </c>
      <c r="AK17" s="493">
        <v>0.50753825136612019</v>
      </c>
      <c r="AL17" s="726">
        <f>ROUND(AI17/'Annex 2. Ms, SFs, Short term '!AA12/1000*24,6)</f>
        <v>3.7300000000000001E-4</v>
      </c>
      <c r="AM17" s="726"/>
      <c r="AN17" s="726">
        <f t="shared" si="6"/>
        <v>4.4799999999999999E-4</v>
      </c>
      <c r="AO17" s="726"/>
      <c r="AP17" s="726">
        <f t="shared" si="7"/>
        <v>5.0799999999999999E-4</v>
      </c>
      <c r="AQ17" s="726"/>
    </row>
    <row r="18" spans="1:43" ht="15" customHeight="1" x14ac:dyDescent="0.25">
      <c r="A18" s="751" t="s">
        <v>199</v>
      </c>
      <c r="B18" s="751"/>
      <c r="C18" s="493">
        <v>14.63</v>
      </c>
      <c r="D18" s="493">
        <v>0.59</v>
      </c>
      <c r="E18" s="493">
        <v>0.66</v>
      </c>
      <c r="F18" s="493">
        <v>3.68</v>
      </c>
      <c r="G18" s="493">
        <v>0.15</v>
      </c>
      <c r="H18" s="493">
        <v>0.17</v>
      </c>
      <c r="I18" s="493">
        <v>14.63</v>
      </c>
      <c r="J18" s="493">
        <v>0.59</v>
      </c>
      <c r="K18" s="493">
        <v>0.66</v>
      </c>
      <c r="L18" s="493">
        <v>14.63</v>
      </c>
      <c r="M18" s="493">
        <v>0.59</v>
      </c>
      <c r="N18" s="493">
        <v>0.66</v>
      </c>
      <c r="O18" s="493">
        <f t="shared" si="1"/>
        <v>14.63</v>
      </c>
      <c r="P18" s="493">
        <f t="shared" si="2"/>
        <v>0.59</v>
      </c>
      <c r="Q18" s="493">
        <f t="shared" si="3"/>
        <v>0.66</v>
      </c>
      <c r="R18" s="493">
        <v>14.628073770491802</v>
      </c>
      <c r="S18" s="493">
        <v>0.58512295081967225</v>
      </c>
      <c r="T18" s="493">
        <v>0.66313934426229515</v>
      </c>
      <c r="U18" s="726">
        <f>ROUND(R18/'Annex 2. Ms, SFs, Short term '!AB12/1000*24,6)</f>
        <v>4.8799999999999999E-4</v>
      </c>
      <c r="V18" s="726"/>
      <c r="W18" s="726">
        <f t="shared" si="4"/>
        <v>5.8500000000000002E-4</v>
      </c>
      <c r="X18" s="726"/>
      <c r="Y18" s="492">
        <f t="shared" si="5"/>
        <v>6.6299999999999996E-4</v>
      </c>
      <c r="Z18" s="493">
        <v>11.81</v>
      </c>
      <c r="AA18" s="493">
        <v>0.79</v>
      </c>
      <c r="AB18" s="493">
        <v>7.69</v>
      </c>
      <c r="AC18" s="493">
        <v>0.51</v>
      </c>
      <c r="AD18" s="493">
        <v>11.2</v>
      </c>
      <c r="AE18" s="493">
        <v>0.45</v>
      </c>
      <c r="AF18" s="493">
        <v>0.51</v>
      </c>
      <c r="AG18" s="493">
        <v>4.4400000000000004</v>
      </c>
      <c r="AH18" s="493">
        <v>0.3</v>
      </c>
      <c r="AI18" s="493">
        <v>11.195696721311474</v>
      </c>
      <c r="AJ18" s="493">
        <v>0.44782786885245901</v>
      </c>
      <c r="AK18" s="493">
        <v>0.50753825136612019</v>
      </c>
      <c r="AL18" s="726">
        <f>ROUND(AI18/'Annex 2. Ms, SFs, Short term '!AB12/1000*24,6)</f>
        <v>3.7300000000000001E-4</v>
      </c>
      <c r="AM18" s="726"/>
      <c r="AN18" s="726">
        <f t="shared" si="6"/>
        <v>4.4799999999999999E-4</v>
      </c>
      <c r="AO18" s="726"/>
      <c r="AP18" s="726">
        <f t="shared" si="7"/>
        <v>5.0799999999999999E-4</v>
      </c>
      <c r="AQ18" s="726"/>
    </row>
    <row r="19" spans="1:43" ht="15" customHeight="1" x14ac:dyDescent="0.25">
      <c r="A19" s="751" t="s">
        <v>200</v>
      </c>
      <c r="B19" s="751"/>
      <c r="C19" s="493">
        <v>15.12</v>
      </c>
      <c r="D19" s="493">
        <v>0.59</v>
      </c>
      <c r="E19" s="493">
        <v>0.66</v>
      </c>
      <c r="F19" s="493">
        <v>3.81</v>
      </c>
      <c r="G19" s="493">
        <v>0.15</v>
      </c>
      <c r="H19" s="493">
        <v>0.17</v>
      </c>
      <c r="I19" s="493">
        <v>15.12</v>
      </c>
      <c r="J19" s="493">
        <v>0.59</v>
      </c>
      <c r="K19" s="493">
        <v>0.66</v>
      </c>
      <c r="L19" s="493">
        <v>15.12</v>
      </c>
      <c r="M19" s="493">
        <v>0.59</v>
      </c>
      <c r="N19" s="493">
        <v>0.66</v>
      </c>
      <c r="O19" s="493">
        <f t="shared" si="1"/>
        <v>15.12</v>
      </c>
      <c r="P19" s="493">
        <f t="shared" si="2"/>
        <v>0.59</v>
      </c>
      <c r="Q19" s="493">
        <f>+K19</f>
        <v>0.66</v>
      </c>
      <c r="R19" s="493">
        <v>15.115676229508196</v>
      </c>
      <c r="S19" s="493">
        <v>0.58512295081967225</v>
      </c>
      <c r="T19" s="493">
        <v>0.66313934426229515</v>
      </c>
      <c r="U19" s="726">
        <f>ROUND(R19/'Annex 2. Ms, SFs, Short term '!AC12/1000*24,6)</f>
        <v>4.8799999999999999E-4</v>
      </c>
      <c r="V19" s="726"/>
      <c r="W19" s="726">
        <f t="shared" si="4"/>
        <v>5.8500000000000002E-4</v>
      </c>
      <c r="X19" s="726"/>
      <c r="Y19" s="492">
        <f t="shared" si="5"/>
        <v>6.6299999999999996E-4</v>
      </c>
      <c r="Z19" s="493">
        <v>9.6</v>
      </c>
      <c r="AA19" s="493">
        <v>0.62</v>
      </c>
      <c r="AB19" s="493">
        <v>6.25</v>
      </c>
      <c r="AC19" s="493">
        <v>0.4</v>
      </c>
      <c r="AD19" s="493">
        <v>11.57</v>
      </c>
      <c r="AE19" s="493">
        <v>0.45</v>
      </c>
      <c r="AF19" s="493">
        <v>0.51</v>
      </c>
      <c r="AG19" s="493">
        <v>3.61</v>
      </c>
      <c r="AH19" s="493">
        <v>0.23</v>
      </c>
      <c r="AI19" s="493">
        <v>11.568886612021856</v>
      </c>
      <c r="AJ19" s="493">
        <v>0.44782786885245901</v>
      </c>
      <c r="AK19" s="493">
        <v>0.50753825136612019</v>
      </c>
      <c r="AL19" s="726">
        <f>ROUND(AI19/'Annex 2. Ms, SFs, Short term '!AC12/1000*24,6)</f>
        <v>3.7300000000000001E-4</v>
      </c>
      <c r="AM19" s="726"/>
      <c r="AN19" s="726">
        <f t="shared" si="6"/>
        <v>4.4799999999999999E-4</v>
      </c>
      <c r="AO19" s="726"/>
      <c r="AP19" s="726">
        <f t="shared" si="7"/>
        <v>5.0799999999999999E-4</v>
      </c>
      <c r="AQ19" s="726"/>
    </row>
    <row r="20" spans="1:43" ht="15" customHeight="1" x14ac:dyDescent="0.25">
      <c r="A20" s="751" t="s">
        <v>201</v>
      </c>
      <c r="B20" s="751"/>
      <c r="C20" s="493">
        <v>14.63</v>
      </c>
      <c r="D20" s="493">
        <v>0.59</v>
      </c>
      <c r="E20" s="493">
        <v>0.66</v>
      </c>
      <c r="F20" s="493">
        <v>3.68</v>
      </c>
      <c r="G20" s="493">
        <v>0.15</v>
      </c>
      <c r="H20" s="493">
        <v>0.17</v>
      </c>
      <c r="I20" s="493">
        <v>14.63</v>
      </c>
      <c r="J20" s="493">
        <v>0.59</v>
      </c>
      <c r="K20" s="493">
        <v>0.66</v>
      </c>
      <c r="L20" s="493">
        <v>14.63</v>
      </c>
      <c r="M20" s="493">
        <v>0.59</v>
      </c>
      <c r="N20" s="493">
        <v>0.66</v>
      </c>
      <c r="O20" s="493">
        <f t="shared" si="1"/>
        <v>14.63</v>
      </c>
      <c r="P20" s="493">
        <f t="shared" si="2"/>
        <v>0.59</v>
      </c>
      <c r="Q20" s="493">
        <f t="shared" si="3"/>
        <v>0.66</v>
      </c>
      <c r="R20" s="493">
        <v>14.628073770491802</v>
      </c>
      <c r="S20" s="493">
        <v>0.58512295081967225</v>
      </c>
      <c r="T20" s="493">
        <v>0.66313934426229515</v>
      </c>
      <c r="U20" s="726">
        <f>ROUND(R20/'Annex 2. Ms, SFs, Short term '!AD12/1000*24,6)</f>
        <v>4.8799999999999999E-4</v>
      </c>
      <c r="V20" s="726"/>
      <c r="W20" s="726">
        <f t="shared" si="4"/>
        <v>5.8500000000000002E-4</v>
      </c>
      <c r="X20" s="726"/>
      <c r="Y20" s="492">
        <f t="shared" si="5"/>
        <v>6.6299999999999996E-4</v>
      </c>
      <c r="Z20" s="493">
        <v>7.03</v>
      </c>
      <c r="AA20" s="493">
        <v>0.47</v>
      </c>
      <c r="AB20" s="493">
        <v>4.58</v>
      </c>
      <c r="AC20" s="493">
        <v>0.31</v>
      </c>
      <c r="AD20" s="493">
        <v>11.2</v>
      </c>
      <c r="AE20" s="493">
        <v>0.45</v>
      </c>
      <c r="AF20" s="493">
        <v>0.51</v>
      </c>
      <c r="AG20" s="493">
        <v>2.64</v>
      </c>
      <c r="AH20" s="493">
        <v>0.18</v>
      </c>
      <c r="AI20" s="493">
        <v>11.195696721311474</v>
      </c>
      <c r="AJ20" s="493">
        <v>0.44782786885245901</v>
      </c>
      <c r="AK20" s="493">
        <v>0.50753825136612019</v>
      </c>
      <c r="AL20" s="726">
        <f>ROUND(AI20/'Annex 2. Ms, SFs, Short term '!AD12/1000*24,6)</f>
        <v>3.7300000000000001E-4</v>
      </c>
      <c r="AM20" s="726"/>
      <c r="AN20" s="726">
        <f t="shared" si="6"/>
        <v>4.4799999999999999E-4</v>
      </c>
      <c r="AO20" s="726"/>
      <c r="AP20" s="726">
        <f t="shared" si="7"/>
        <v>5.0799999999999999E-4</v>
      </c>
      <c r="AQ20" s="726"/>
    </row>
    <row r="21" spans="1:43" ht="15" customHeight="1" x14ac:dyDescent="0.25">
      <c r="A21" s="751" t="s">
        <v>202</v>
      </c>
      <c r="B21" s="751"/>
      <c r="C21" s="493">
        <v>15.12</v>
      </c>
      <c r="D21" s="493">
        <v>0.59</v>
      </c>
      <c r="E21" s="493">
        <v>0.66</v>
      </c>
      <c r="F21" s="493">
        <v>3.81</v>
      </c>
      <c r="G21" s="493">
        <v>0.15</v>
      </c>
      <c r="H21" s="493">
        <v>0.17</v>
      </c>
      <c r="I21" s="493">
        <v>15.12</v>
      </c>
      <c r="J21" s="493">
        <v>0.59</v>
      </c>
      <c r="K21" s="493">
        <v>0.66</v>
      </c>
      <c r="L21" s="493">
        <v>15.12</v>
      </c>
      <c r="M21" s="493">
        <v>0.59</v>
      </c>
      <c r="N21" s="493">
        <v>0.66</v>
      </c>
      <c r="O21" s="493">
        <f t="shared" si="1"/>
        <v>15.12</v>
      </c>
      <c r="P21" s="493">
        <f t="shared" si="2"/>
        <v>0.59</v>
      </c>
      <c r="Q21" s="493">
        <f t="shared" si="3"/>
        <v>0.66</v>
      </c>
      <c r="R21" s="493">
        <v>15.115676229508196</v>
      </c>
      <c r="S21" s="493">
        <v>0.58512295081967225</v>
      </c>
      <c r="T21" s="493">
        <v>0.66313934426229515</v>
      </c>
      <c r="U21" s="726">
        <f>ROUND(R21/'Annex 2. Ms, SFs, Short term '!AE12/1000*24,6)</f>
        <v>4.8799999999999999E-4</v>
      </c>
      <c r="V21" s="726"/>
      <c r="W21" s="726">
        <f t="shared" si="4"/>
        <v>5.8500000000000002E-4</v>
      </c>
      <c r="X21" s="726"/>
      <c r="Y21" s="492">
        <f t="shared" si="5"/>
        <v>6.6299999999999996E-4</v>
      </c>
      <c r="Z21" s="493">
        <v>5.9</v>
      </c>
      <c r="AA21" s="493">
        <v>0.38</v>
      </c>
      <c r="AB21" s="493">
        <v>3.84</v>
      </c>
      <c r="AC21" s="493">
        <v>0.25</v>
      </c>
      <c r="AD21" s="493">
        <v>11.57</v>
      </c>
      <c r="AE21" s="493">
        <v>0.45</v>
      </c>
      <c r="AF21" s="493">
        <v>0.51</v>
      </c>
      <c r="AG21" s="493">
        <v>2.2200000000000002</v>
      </c>
      <c r="AH21" s="493">
        <v>0.14000000000000001</v>
      </c>
      <c r="AI21" s="493">
        <v>11.568886612021856</v>
      </c>
      <c r="AJ21" s="493">
        <v>0.44782786885245901</v>
      </c>
      <c r="AK21" s="493">
        <v>0.50753825136612019</v>
      </c>
      <c r="AL21" s="726">
        <f>ROUND(AI21/'Annex 2. Ms, SFs, Short term '!AE12/1000*24,6)</f>
        <v>3.7300000000000001E-4</v>
      </c>
      <c r="AM21" s="726"/>
      <c r="AN21" s="726">
        <f t="shared" si="6"/>
        <v>4.4799999999999999E-4</v>
      </c>
      <c r="AO21" s="726"/>
      <c r="AP21" s="726">
        <f t="shared" si="7"/>
        <v>5.0799999999999999E-4</v>
      </c>
      <c r="AQ21" s="726"/>
    </row>
    <row r="22" spans="1:43" ht="15" customHeight="1" x14ac:dyDescent="0.25">
      <c r="A22" s="751" t="s">
        <v>203</v>
      </c>
      <c r="B22" s="751"/>
      <c r="C22" s="493">
        <v>15.12</v>
      </c>
      <c r="D22" s="493">
        <v>0.59</v>
      </c>
      <c r="E22" s="493">
        <v>0.66</v>
      </c>
      <c r="F22" s="493">
        <v>3.81</v>
      </c>
      <c r="G22" s="493">
        <v>0.15</v>
      </c>
      <c r="H22" s="493">
        <v>0.17</v>
      </c>
      <c r="I22" s="493">
        <v>15.12</v>
      </c>
      <c r="J22" s="493">
        <v>0.59</v>
      </c>
      <c r="K22" s="493">
        <v>0.66</v>
      </c>
      <c r="L22" s="493">
        <v>15.12</v>
      </c>
      <c r="M22" s="493">
        <v>0.59</v>
      </c>
      <c r="N22" s="493">
        <v>0.66</v>
      </c>
      <c r="O22" s="493">
        <f t="shared" si="1"/>
        <v>15.12</v>
      </c>
      <c r="P22" s="493">
        <f t="shared" si="2"/>
        <v>0.59</v>
      </c>
      <c r="Q22" s="493">
        <f t="shared" si="3"/>
        <v>0.66</v>
      </c>
      <c r="R22" s="493">
        <v>15.115676229508196</v>
      </c>
      <c r="S22" s="493">
        <v>0.58512295081967225</v>
      </c>
      <c r="T22" s="493">
        <v>0.66313934426229515</v>
      </c>
      <c r="U22" s="726">
        <f>ROUND(R22/'Annex 2. Ms, SFs, Short term '!AF12/1000*24,6)</f>
        <v>4.8799999999999999E-4</v>
      </c>
      <c r="V22" s="726"/>
      <c r="W22" s="726">
        <f t="shared" si="4"/>
        <v>5.8500000000000002E-4</v>
      </c>
      <c r="X22" s="726"/>
      <c r="Y22" s="492">
        <f t="shared" si="5"/>
        <v>6.6299999999999996E-4</v>
      </c>
      <c r="Z22" s="493">
        <v>6.58</v>
      </c>
      <c r="AA22" s="493">
        <v>0.42</v>
      </c>
      <c r="AB22" s="493">
        <v>4.29</v>
      </c>
      <c r="AC22" s="493">
        <v>0.28000000000000003</v>
      </c>
      <c r="AD22" s="493">
        <v>11.57</v>
      </c>
      <c r="AE22" s="493">
        <v>0.45</v>
      </c>
      <c r="AF22" s="493">
        <v>0.51</v>
      </c>
      <c r="AG22" s="493">
        <v>2.4700000000000002</v>
      </c>
      <c r="AH22" s="493">
        <v>0.16</v>
      </c>
      <c r="AI22" s="493">
        <v>11.568886612021856</v>
      </c>
      <c r="AJ22" s="493">
        <v>0.44782786885245901</v>
      </c>
      <c r="AK22" s="493">
        <v>0.50753825136612019</v>
      </c>
      <c r="AL22" s="726">
        <f>ROUND(AI22/'Annex 2. Ms, SFs, Short term '!AF12/1000*24,6)</f>
        <v>3.7300000000000001E-4</v>
      </c>
      <c r="AM22" s="726"/>
      <c r="AN22" s="726">
        <f t="shared" si="6"/>
        <v>4.4799999999999999E-4</v>
      </c>
      <c r="AO22" s="726"/>
      <c r="AP22" s="726">
        <f t="shared" si="7"/>
        <v>5.0799999999999999E-4</v>
      </c>
      <c r="AQ22" s="726"/>
    </row>
    <row r="23" spans="1:43" ht="15" customHeight="1" x14ac:dyDescent="0.25">
      <c r="A23" s="751" t="s">
        <v>204</v>
      </c>
      <c r="B23" s="751"/>
      <c r="C23" s="493">
        <v>14.63</v>
      </c>
      <c r="D23" s="493">
        <v>0.59</v>
      </c>
      <c r="E23" s="493">
        <v>0.66</v>
      </c>
      <c r="F23" s="493">
        <v>3.68</v>
      </c>
      <c r="G23" s="493">
        <v>0.15</v>
      </c>
      <c r="H23" s="493">
        <v>0.17</v>
      </c>
      <c r="I23" s="493">
        <v>14.63</v>
      </c>
      <c r="J23" s="493">
        <v>0.59</v>
      </c>
      <c r="K23" s="493">
        <v>0.66</v>
      </c>
      <c r="L23" s="493">
        <v>14.63</v>
      </c>
      <c r="M23" s="493">
        <v>0.59</v>
      </c>
      <c r="N23" s="493">
        <v>0.66</v>
      </c>
      <c r="O23" s="493">
        <f t="shared" si="1"/>
        <v>14.63</v>
      </c>
      <c r="P23" s="493">
        <f t="shared" si="2"/>
        <v>0.59</v>
      </c>
      <c r="Q23" s="493">
        <f t="shared" si="3"/>
        <v>0.66</v>
      </c>
      <c r="R23" s="493">
        <v>14.628073770491802</v>
      </c>
      <c r="S23" s="493">
        <v>0.58512295081967225</v>
      </c>
      <c r="T23" s="493">
        <v>0.66313934426229515</v>
      </c>
      <c r="U23" s="726">
        <f>ROUND(R23/'Annex 2. Ms, SFs, Short term '!AG12/1000*24,6)</f>
        <v>4.8799999999999999E-4</v>
      </c>
      <c r="V23" s="726"/>
      <c r="W23" s="726">
        <f t="shared" si="4"/>
        <v>5.8500000000000002E-4</v>
      </c>
      <c r="X23" s="726"/>
      <c r="Y23" s="492">
        <f t="shared" si="5"/>
        <v>6.6299999999999996E-4</v>
      </c>
      <c r="Z23" s="493">
        <v>7.43</v>
      </c>
      <c r="AA23" s="493">
        <v>0.5</v>
      </c>
      <c r="AB23" s="493">
        <v>4.84</v>
      </c>
      <c r="AC23" s="493">
        <v>0.32</v>
      </c>
      <c r="AD23" s="493">
        <v>11.2</v>
      </c>
      <c r="AE23" s="493">
        <v>0.45</v>
      </c>
      <c r="AF23" s="493">
        <v>0.51</v>
      </c>
      <c r="AG23" s="493">
        <v>2.79</v>
      </c>
      <c r="AH23" s="493">
        <v>0.19</v>
      </c>
      <c r="AI23" s="493">
        <v>11.195696721311474</v>
      </c>
      <c r="AJ23" s="493">
        <v>0.44782786885245901</v>
      </c>
      <c r="AK23" s="493">
        <v>0.50753825136612019</v>
      </c>
      <c r="AL23" s="726">
        <f>ROUND(AI23/'Annex 2. Ms, SFs, Short term '!AG12/1000*24,6)</f>
        <v>3.7300000000000001E-4</v>
      </c>
      <c r="AM23" s="726"/>
      <c r="AN23" s="726">
        <f t="shared" si="6"/>
        <v>4.4799999999999999E-4</v>
      </c>
      <c r="AO23" s="726"/>
      <c r="AP23" s="726">
        <f t="shared" si="7"/>
        <v>5.0799999999999999E-4</v>
      </c>
      <c r="AQ23" s="726"/>
    </row>
    <row r="24" spans="1:43" ht="15" customHeight="1" x14ac:dyDescent="0.25">
      <c r="A24" s="751" t="s">
        <v>205</v>
      </c>
      <c r="B24" s="751"/>
      <c r="C24" s="493">
        <v>15.12</v>
      </c>
      <c r="D24" s="493">
        <v>0.59</v>
      </c>
      <c r="E24" s="493">
        <v>0.66</v>
      </c>
      <c r="F24" s="493">
        <v>3.81</v>
      </c>
      <c r="G24" s="493">
        <v>0.15</v>
      </c>
      <c r="H24" s="493">
        <v>0.17</v>
      </c>
      <c r="I24" s="493">
        <v>15.12</v>
      </c>
      <c r="J24" s="493">
        <v>0.59</v>
      </c>
      <c r="K24" s="493">
        <v>0.66</v>
      </c>
      <c r="L24" s="493">
        <v>15.12</v>
      </c>
      <c r="M24" s="493">
        <v>0.59</v>
      </c>
      <c r="N24" s="493">
        <v>0.66</v>
      </c>
      <c r="O24" s="493">
        <f t="shared" si="1"/>
        <v>15.12</v>
      </c>
      <c r="P24" s="493">
        <f t="shared" si="2"/>
        <v>0.59</v>
      </c>
      <c r="Q24" s="493">
        <f t="shared" si="3"/>
        <v>0.66</v>
      </c>
      <c r="R24" s="493">
        <v>15.115676229508196</v>
      </c>
      <c r="S24" s="493">
        <v>0.58512295081967225</v>
      </c>
      <c r="T24" s="493">
        <v>0.66313934426229515</v>
      </c>
      <c r="U24" s="726">
        <f>ROUND(R24/'Annex 2. Ms, SFs, Short term '!AH12/1000*24,6)</f>
        <v>4.8799999999999999E-4</v>
      </c>
      <c r="V24" s="726"/>
      <c r="W24" s="726">
        <f t="shared" si="4"/>
        <v>5.8500000000000002E-4</v>
      </c>
      <c r="X24" s="726"/>
      <c r="Y24" s="492">
        <f t="shared" si="5"/>
        <v>6.6299999999999996E-4</v>
      </c>
      <c r="Z24" s="493">
        <v>13.44</v>
      </c>
      <c r="AA24" s="493">
        <v>0.87</v>
      </c>
      <c r="AB24" s="493">
        <v>8.75</v>
      </c>
      <c r="AC24" s="493">
        <v>0.56000000000000005</v>
      </c>
      <c r="AD24" s="493">
        <v>11.57</v>
      </c>
      <c r="AE24" s="493">
        <v>0.45</v>
      </c>
      <c r="AF24" s="493">
        <v>0.51</v>
      </c>
      <c r="AG24" s="493">
        <v>5.05</v>
      </c>
      <c r="AH24" s="493">
        <v>0.33</v>
      </c>
      <c r="AI24" s="493">
        <v>11.568886612021856</v>
      </c>
      <c r="AJ24" s="493">
        <v>0.44782786885245901</v>
      </c>
      <c r="AK24" s="493">
        <v>0.50753825136612019</v>
      </c>
      <c r="AL24" s="726">
        <f>ROUND(AI24/'Annex 2. Ms, SFs, Short term '!AH12/1000*24,6)</f>
        <v>3.7300000000000001E-4</v>
      </c>
      <c r="AM24" s="726"/>
      <c r="AN24" s="726">
        <f t="shared" si="6"/>
        <v>4.4799999999999999E-4</v>
      </c>
      <c r="AO24" s="726"/>
      <c r="AP24" s="726">
        <f t="shared" si="7"/>
        <v>5.0799999999999999E-4</v>
      </c>
      <c r="AQ24" s="726"/>
    </row>
    <row r="25" spans="1:43" ht="15" customHeight="1" x14ac:dyDescent="0.25">
      <c r="A25" s="751" t="s">
        <v>206</v>
      </c>
      <c r="B25" s="751"/>
      <c r="C25" s="493">
        <v>14.63</v>
      </c>
      <c r="D25" s="493">
        <v>0.59</v>
      </c>
      <c r="E25" s="493">
        <v>0.66</v>
      </c>
      <c r="F25" s="493">
        <v>3.68</v>
      </c>
      <c r="G25" s="493">
        <v>0.15</v>
      </c>
      <c r="H25" s="493">
        <v>0.17</v>
      </c>
      <c r="I25" s="493">
        <v>14.63</v>
      </c>
      <c r="J25" s="493">
        <v>0.59</v>
      </c>
      <c r="K25" s="493">
        <v>0.66</v>
      </c>
      <c r="L25" s="493">
        <v>14.63</v>
      </c>
      <c r="M25" s="493">
        <v>0.59</v>
      </c>
      <c r="N25" s="493">
        <v>0.66</v>
      </c>
      <c r="O25" s="493">
        <f t="shared" si="1"/>
        <v>14.63</v>
      </c>
      <c r="P25" s="493">
        <f t="shared" si="2"/>
        <v>0.59</v>
      </c>
      <c r="Q25" s="493">
        <f t="shared" si="3"/>
        <v>0.66</v>
      </c>
      <c r="R25" s="493">
        <v>14.628073770491802</v>
      </c>
      <c r="S25" s="493">
        <v>0.58512295081967225</v>
      </c>
      <c r="T25" s="493">
        <v>0.66313934426229515</v>
      </c>
      <c r="U25" s="726">
        <f>ROUND(R25/'Annex 2. Ms, SFs, Short term '!AI12/1000*24,6)</f>
        <v>4.8799999999999999E-4</v>
      </c>
      <c r="V25" s="726"/>
      <c r="W25" s="726">
        <f t="shared" si="4"/>
        <v>5.8500000000000002E-4</v>
      </c>
      <c r="X25" s="726"/>
      <c r="Y25" s="492">
        <f t="shared" si="5"/>
        <v>6.6299999999999996E-4</v>
      </c>
      <c r="Z25" s="493">
        <v>16.989999999999998</v>
      </c>
      <c r="AA25" s="493">
        <v>1.1299999999999999</v>
      </c>
      <c r="AB25" s="493">
        <v>11.06</v>
      </c>
      <c r="AC25" s="493">
        <v>0.74</v>
      </c>
      <c r="AD25" s="493">
        <v>11.2</v>
      </c>
      <c r="AE25" s="493">
        <v>0.45</v>
      </c>
      <c r="AF25" s="493">
        <v>0.51</v>
      </c>
      <c r="AG25" s="493">
        <v>6.38</v>
      </c>
      <c r="AH25" s="493">
        <v>0.43</v>
      </c>
      <c r="AI25" s="493">
        <v>11.195696721311474</v>
      </c>
      <c r="AJ25" s="493">
        <v>0.44782786885245901</v>
      </c>
      <c r="AK25" s="493">
        <v>0.50753825136612019</v>
      </c>
      <c r="AL25" s="726">
        <f>ROUND(AI25/'Annex 2. Ms, SFs, Short term '!AI12/1000*24,6)</f>
        <v>3.7300000000000001E-4</v>
      </c>
      <c r="AM25" s="726"/>
      <c r="AN25" s="726">
        <f t="shared" si="6"/>
        <v>4.4799999999999999E-4</v>
      </c>
      <c r="AO25" s="726"/>
      <c r="AP25" s="726">
        <f t="shared" si="7"/>
        <v>5.0799999999999999E-4</v>
      </c>
      <c r="AQ25" s="726"/>
    </row>
    <row r="26" spans="1:43" ht="15" customHeight="1" x14ac:dyDescent="0.25">
      <c r="A26" s="751" t="s">
        <v>207</v>
      </c>
      <c r="B26" s="751"/>
      <c r="C26" s="493">
        <v>15.12</v>
      </c>
      <c r="D26" s="493">
        <v>0.59</v>
      </c>
      <c r="E26" s="493">
        <v>0.66</v>
      </c>
      <c r="F26" s="493">
        <v>3.81</v>
      </c>
      <c r="G26" s="493">
        <v>0.15</v>
      </c>
      <c r="H26" s="493">
        <v>0.17</v>
      </c>
      <c r="I26" s="493">
        <v>15.12</v>
      </c>
      <c r="J26" s="493">
        <v>0.59</v>
      </c>
      <c r="K26" s="493">
        <v>0.66</v>
      </c>
      <c r="L26" s="493">
        <v>15.12</v>
      </c>
      <c r="M26" s="493">
        <v>0.59</v>
      </c>
      <c r="N26" s="493">
        <v>0.66</v>
      </c>
      <c r="O26" s="493">
        <f t="shared" si="1"/>
        <v>15.12</v>
      </c>
      <c r="P26" s="493">
        <f t="shared" si="2"/>
        <v>0.59</v>
      </c>
      <c r="Q26" s="493">
        <f t="shared" si="3"/>
        <v>0.66</v>
      </c>
      <c r="R26" s="493">
        <v>15.115676229508196</v>
      </c>
      <c r="S26" s="493">
        <v>0.58512295081967225</v>
      </c>
      <c r="T26" s="493">
        <v>0.66313934426229515</v>
      </c>
      <c r="U26" s="726">
        <f>ROUND(R26/'Annex 2. Ms, SFs, Short term '!AJ12/1000*24,6)</f>
        <v>4.8799999999999999E-4</v>
      </c>
      <c r="V26" s="726"/>
      <c r="W26" s="726">
        <f t="shared" si="4"/>
        <v>5.8500000000000002E-4</v>
      </c>
      <c r="X26" s="726"/>
      <c r="Y26" s="492">
        <f t="shared" si="5"/>
        <v>6.6299999999999996E-4</v>
      </c>
      <c r="Z26" s="493">
        <v>22.76</v>
      </c>
      <c r="AA26" s="493">
        <v>1.47</v>
      </c>
      <c r="AB26" s="493">
        <v>14.82</v>
      </c>
      <c r="AC26" s="493">
        <v>0.96</v>
      </c>
      <c r="AD26" s="493">
        <v>11.57</v>
      </c>
      <c r="AE26" s="493">
        <v>0.45</v>
      </c>
      <c r="AF26" s="493">
        <v>0.51</v>
      </c>
      <c r="AG26" s="493">
        <v>8.5500000000000007</v>
      </c>
      <c r="AH26" s="493">
        <v>0.55000000000000004</v>
      </c>
      <c r="AI26" s="493">
        <v>11.568886612021856</v>
      </c>
      <c r="AJ26" s="493">
        <v>0.44782786885245901</v>
      </c>
      <c r="AK26" s="493">
        <v>0.50753825136612019</v>
      </c>
      <c r="AL26" s="726">
        <f>ROUND(AI26/'Annex 2. Ms, SFs, Short term '!AJ12/1000*24,6)</f>
        <v>3.7300000000000001E-4</v>
      </c>
      <c r="AM26" s="726"/>
      <c r="AN26" s="726">
        <f t="shared" si="6"/>
        <v>4.4799999999999999E-4</v>
      </c>
      <c r="AO26" s="726"/>
      <c r="AP26" s="726">
        <f t="shared" si="7"/>
        <v>5.0799999999999999E-4</v>
      </c>
      <c r="AQ26" s="726"/>
    </row>
    <row r="27" spans="1:43" ht="15.75" customHeight="1" x14ac:dyDescent="0.25">
      <c r="A27" s="737" t="s">
        <v>217</v>
      </c>
      <c r="B27" s="737"/>
      <c r="C27" s="737"/>
      <c r="D27" s="737"/>
      <c r="E27" s="737"/>
      <c r="F27" s="737"/>
      <c r="G27" s="737"/>
      <c r="H27" s="737"/>
      <c r="I27" s="737"/>
      <c r="J27" s="737"/>
      <c r="K27" s="737"/>
      <c r="L27" s="737"/>
      <c r="M27" s="737"/>
      <c r="N27" s="737"/>
      <c r="O27" s="737"/>
      <c r="P27" s="737"/>
      <c r="Q27" s="737"/>
      <c r="R27" s="737"/>
      <c r="S27" s="737"/>
      <c r="T27" s="737"/>
      <c r="U27" s="737"/>
      <c r="V27" s="737"/>
      <c r="W27" s="737"/>
      <c r="X27" s="737"/>
      <c r="Y27" s="737"/>
      <c r="Z27" s="737"/>
      <c r="AA27" s="737"/>
      <c r="AB27" s="737"/>
      <c r="AC27" s="737"/>
      <c r="AD27" s="737"/>
      <c r="AE27" s="737"/>
      <c r="AF27" s="737"/>
      <c r="AG27" s="737"/>
      <c r="AH27" s="737"/>
      <c r="AI27" s="737"/>
      <c r="AJ27" s="737"/>
      <c r="AK27" s="737"/>
      <c r="AL27" s="737"/>
      <c r="AM27" s="737"/>
      <c r="AN27" s="737"/>
      <c r="AO27" s="737"/>
      <c r="AP27" s="737"/>
      <c r="AQ27" s="737"/>
    </row>
    <row r="28" spans="1:43" ht="17.25" customHeight="1" x14ac:dyDescent="0.25">
      <c r="A28" s="737"/>
      <c r="B28" s="737"/>
      <c r="C28" s="737"/>
      <c r="D28" s="737"/>
      <c r="E28" s="737"/>
      <c r="F28" s="737"/>
      <c r="G28" s="737"/>
      <c r="H28" s="737"/>
      <c r="I28" s="737"/>
      <c r="J28" s="737"/>
      <c r="K28" s="737"/>
      <c r="L28" s="737"/>
      <c r="M28" s="737"/>
      <c r="N28" s="737"/>
      <c r="O28" s="737"/>
      <c r="P28" s="737"/>
      <c r="Q28" s="737"/>
      <c r="R28" s="737"/>
      <c r="S28" s="737"/>
      <c r="T28" s="737"/>
      <c r="U28" s="737"/>
      <c r="V28" s="737"/>
      <c r="W28" s="737"/>
      <c r="X28" s="737"/>
      <c r="Y28" s="737"/>
      <c r="Z28" s="737"/>
      <c r="AA28" s="737"/>
      <c r="AB28" s="737"/>
      <c r="AC28" s="737"/>
      <c r="AD28" s="737"/>
      <c r="AE28" s="737"/>
      <c r="AF28" s="737"/>
      <c r="AG28" s="737"/>
      <c r="AH28" s="737"/>
      <c r="AI28" s="737"/>
      <c r="AJ28" s="737"/>
      <c r="AK28" s="737"/>
      <c r="AL28" s="737"/>
      <c r="AM28" s="737"/>
      <c r="AN28" s="737"/>
      <c r="AO28" s="737"/>
      <c r="AP28" s="737"/>
      <c r="AQ28" s="737"/>
    </row>
    <row r="29" spans="1:43" ht="12" customHeight="1" x14ac:dyDescent="0.25">
      <c r="A29" s="737"/>
      <c r="B29" s="737"/>
      <c r="C29" s="737"/>
      <c r="D29" s="737"/>
      <c r="E29" s="737"/>
      <c r="F29" s="737"/>
      <c r="G29" s="737"/>
      <c r="H29" s="737"/>
      <c r="I29" s="737"/>
      <c r="J29" s="737"/>
      <c r="K29" s="737"/>
      <c r="L29" s="737"/>
      <c r="M29" s="737"/>
      <c r="N29" s="737"/>
      <c r="O29" s="737"/>
      <c r="P29" s="737"/>
      <c r="Q29" s="737"/>
      <c r="R29" s="737"/>
      <c r="S29" s="737"/>
      <c r="T29" s="737"/>
      <c r="U29" s="737"/>
      <c r="V29" s="737"/>
      <c r="W29" s="737"/>
      <c r="X29" s="737"/>
      <c r="Y29" s="737"/>
      <c r="Z29" s="737"/>
      <c r="AA29" s="737"/>
      <c r="AB29" s="737"/>
      <c r="AC29" s="737"/>
      <c r="AD29" s="737"/>
      <c r="AE29" s="737"/>
      <c r="AF29" s="737"/>
      <c r="AG29" s="737"/>
      <c r="AH29" s="737"/>
      <c r="AI29" s="737"/>
      <c r="AJ29" s="737"/>
      <c r="AK29" s="737"/>
      <c r="AL29" s="737"/>
      <c r="AM29" s="737"/>
      <c r="AN29" s="737"/>
      <c r="AO29" s="737"/>
      <c r="AP29" s="737"/>
      <c r="AQ29" s="737"/>
    </row>
    <row r="30" spans="1:43" ht="15" customHeight="1" x14ac:dyDescent="0.25">
      <c r="A30" s="721"/>
      <c r="B30" s="721"/>
      <c r="C30" s="738" t="s">
        <v>218</v>
      </c>
      <c r="D30" s="738"/>
      <c r="E30" s="738"/>
      <c r="F30" s="738"/>
      <c r="G30" s="738"/>
      <c r="H30" s="738"/>
      <c r="I30" s="738"/>
      <c r="J30" s="738"/>
      <c r="K30" s="738"/>
      <c r="L30" s="738"/>
      <c r="M30" s="738"/>
      <c r="N30" s="738"/>
      <c r="O30" s="738"/>
      <c r="P30" s="738"/>
      <c r="Q30" s="738"/>
      <c r="R30" s="738"/>
      <c r="S30" s="738"/>
      <c r="T30" s="738"/>
      <c r="U30" s="738"/>
      <c r="V30" s="738"/>
      <c r="W30" s="738"/>
      <c r="X30" s="738"/>
      <c r="Y30" s="738"/>
      <c r="Z30" s="738"/>
      <c r="AA30" s="738"/>
      <c r="AB30" s="738"/>
      <c r="AC30" s="738"/>
      <c r="AD30" s="738"/>
      <c r="AE30" s="738"/>
      <c r="AF30" s="738"/>
      <c r="AG30" s="738"/>
      <c r="AH30" s="738"/>
      <c r="AI30" s="738"/>
      <c r="AJ30" s="738"/>
      <c r="AK30" s="738"/>
      <c r="AL30" s="738"/>
      <c r="AM30" s="738"/>
      <c r="AN30" s="738"/>
      <c r="AO30" s="738"/>
      <c r="AP30" s="738"/>
      <c r="AQ30" s="738"/>
    </row>
    <row r="31" spans="1:43" ht="18.600000000000001" customHeight="1" x14ac:dyDescent="0.25">
      <c r="A31" s="721"/>
      <c r="B31" s="721"/>
      <c r="C31" s="716" t="s">
        <v>174</v>
      </c>
      <c r="D31" s="717"/>
      <c r="E31" s="717"/>
      <c r="F31" s="717"/>
      <c r="G31" s="717"/>
      <c r="H31" s="717"/>
      <c r="I31" s="717"/>
      <c r="J31" s="717"/>
      <c r="K31" s="717"/>
      <c r="L31" s="717"/>
      <c r="M31" s="717"/>
      <c r="N31" s="717"/>
      <c r="O31" s="717"/>
      <c r="P31" s="717"/>
      <c r="Q31" s="717"/>
      <c r="R31" s="717"/>
      <c r="S31" s="717"/>
      <c r="T31" s="717"/>
      <c r="U31" s="717"/>
      <c r="V31" s="717"/>
      <c r="W31" s="717"/>
      <c r="X31" s="717"/>
      <c r="Y31" s="718"/>
      <c r="Z31" s="716" t="s">
        <v>175</v>
      </c>
      <c r="AA31" s="717"/>
      <c r="AB31" s="717"/>
      <c r="AC31" s="717"/>
      <c r="AD31" s="717"/>
      <c r="AE31" s="717"/>
      <c r="AF31" s="717"/>
      <c r="AG31" s="717"/>
      <c r="AH31" s="717"/>
      <c r="AI31" s="717"/>
      <c r="AJ31" s="717"/>
      <c r="AK31" s="717"/>
      <c r="AL31" s="717"/>
      <c r="AM31" s="717"/>
      <c r="AN31" s="717"/>
      <c r="AO31" s="717"/>
      <c r="AP31" s="717"/>
      <c r="AQ31" s="718"/>
    </row>
    <row r="32" spans="1:43" ht="39.6" customHeight="1" x14ac:dyDescent="0.25">
      <c r="A32" s="721"/>
      <c r="B32" s="721"/>
      <c r="C32" s="719" t="s">
        <v>176</v>
      </c>
      <c r="D32" s="719"/>
      <c r="E32" s="719"/>
      <c r="F32" s="719" t="s">
        <v>224</v>
      </c>
      <c r="G32" s="719"/>
      <c r="H32" s="719"/>
      <c r="I32" s="719" t="s">
        <v>177</v>
      </c>
      <c r="J32" s="719"/>
      <c r="K32" s="719"/>
      <c r="L32" s="719" t="s">
        <v>178</v>
      </c>
      <c r="M32" s="719"/>
      <c r="N32" s="719"/>
      <c r="O32" s="719" t="s">
        <v>179</v>
      </c>
      <c r="P32" s="719"/>
      <c r="Q32" s="719"/>
      <c r="R32" s="719" t="s">
        <v>180</v>
      </c>
      <c r="S32" s="719"/>
      <c r="T32" s="719"/>
      <c r="U32" s="719"/>
      <c r="V32" s="719"/>
      <c r="W32" s="719"/>
      <c r="X32" s="719"/>
      <c r="Y32" s="719"/>
      <c r="Z32" s="719" t="s">
        <v>181</v>
      </c>
      <c r="AA32" s="719"/>
      <c r="AB32" s="719" t="s">
        <v>182</v>
      </c>
      <c r="AC32" s="719"/>
      <c r="AD32" s="719" t="s">
        <v>177</v>
      </c>
      <c r="AE32" s="719"/>
      <c r="AF32" s="719"/>
      <c r="AG32" s="719" t="s">
        <v>210</v>
      </c>
      <c r="AH32" s="719"/>
      <c r="AI32" s="719" t="s">
        <v>180</v>
      </c>
      <c r="AJ32" s="719"/>
      <c r="AK32" s="719"/>
      <c r="AL32" s="719"/>
      <c r="AM32" s="719"/>
      <c r="AN32" s="719"/>
      <c r="AO32" s="719"/>
      <c r="AP32" s="719"/>
      <c r="AQ32" s="719"/>
    </row>
    <row r="33" spans="1:43" x14ac:dyDescent="0.25">
      <c r="A33" s="722" t="s">
        <v>219</v>
      </c>
      <c r="B33" s="723"/>
      <c r="C33" s="723"/>
      <c r="D33" s="723"/>
      <c r="E33" s="723"/>
      <c r="F33" s="723"/>
      <c r="G33" s="723"/>
      <c r="H33" s="723"/>
      <c r="I33" s="723"/>
      <c r="J33" s="723"/>
      <c r="K33" s="723"/>
      <c r="L33" s="723"/>
      <c r="M33" s="723"/>
      <c r="N33" s="723"/>
      <c r="O33" s="723"/>
      <c r="P33" s="723"/>
      <c r="Q33" s="723"/>
      <c r="R33" s="723"/>
      <c r="S33" s="723"/>
      <c r="T33" s="723"/>
      <c r="U33" s="723"/>
      <c r="V33" s="723"/>
      <c r="W33" s="723"/>
      <c r="X33" s="723"/>
      <c r="Y33" s="723"/>
      <c r="Z33" s="723"/>
      <c r="AA33" s="723"/>
      <c r="AB33" s="723"/>
      <c r="AC33" s="723"/>
      <c r="AD33" s="723"/>
      <c r="AE33" s="723"/>
      <c r="AF33" s="723"/>
      <c r="AG33" s="723"/>
      <c r="AH33" s="723"/>
      <c r="AI33" s="723"/>
      <c r="AJ33" s="723"/>
      <c r="AK33" s="723"/>
      <c r="AL33" s="723"/>
      <c r="AM33" s="723"/>
      <c r="AN33" s="723"/>
      <c r="AO33" s="723"/>
      <c r="AP33" s="723"/>
      <c r="AQ33" s="724"/>
    </row>
    <row r="34" spans="1:43" ht="27.95" customHeight="1" x14ac:dyDescent="0.25">
      <c r="A34" s="720" t="s">
        <v>185</v>
      </c>
      <c r="B34" s="720"/>
      <c r="C34" s="731"/>
      <c r="D34" s="732"/>
      <c r="E34" s="732"/>
      <c r="F34" s="732"/>
      <c r="G34" s="732"/>
      <c r="H34" s="732"/>
      <c r="I34" s="732"/>
      <c r="J34" s="732"/>
      <c r="K34" s="732"/>
      <c r="L34" s="732"/>
      <c r="M34" s="732"/>
      <c r="N34" s="732"/>
      <c r="O34" s="732"/>
      <c r="P34" s="732"/>
      <c r="Q34" s="732"/>
      <c r="R34" s="732"/>
      <c r="S34" s="732"/>
      <c r="T34" s="732"/>
      <c r="U34" s="732"/>
      <c r="V34" s="732"/>
      <c r="W34" s="732"/>
      <c r="X34" s="732"/>
      <c r="Y34" s="733"/>
      <c r="Z34" s="730" t="s">
        <v>184</v>
      </c>
      <c r="AA34" s="730"/>
      <c r="AB34" s="730"/>
      <c r="AC34" s="730"/>
      <c r="AD34" s="731"/>
      <c r="AE34" s="732"/>
      <c r="AF34" s="732"/>
      <c r="AG34" s="732"/>
      <c r="AH34" s="732"/>
      <c r="AI34" s="732"/>
      <c r="AJ34" s="732"/>
      <c r="AK34" s="732"/>
      <c r="AL34" s="732"/>
      <c r="AM34" s="732"/>
      <c r="AN34" s="732"/>
      <c r="AO34" s="732"/>
      <c r="AP34" s="732"/>
      <c r="AQ34" s="733"/>
    </row>
    <row r="35" spans="1:43" ht="38.25" customHeight="1" x14ac:dyDescent="0.25">
      <c r="A35" s="720" t="s">
        <v>219</v>
      </c>
      <c r="B35" s="720"/>
      <c r="C35" s="713"/>
      <c r="D35" s="714"/>
      <c r="E35" s="714"/>
      <c r="F35" s="714"/>
      <c r="G35" s="714"/>
      <c r="H35" s="714"/>
      <c r="I35" s="714"/>
      <c r="J35" s="714"/>
      <c r="K35" s="714"/>
      <c r="L35" s="714"/>
      <c r="M35" s="714"/>
      <c r="N35" s="714"/>
      <c r="O35" s="714"/>
      <c r="P35" s="714"/>
      <c r="Q35" s="714"/>
      <c r="R35" s="714"/>
      <c r="S35" s="714"/>
      <c r="T35" s="714"/>
      <c r="U35" s="714"/>
      <c r="V35" s="714"/>
      <c r="W35" s="714"/>
      <c r="X35" s="714"/>
      <c r="Y35" s="715"/>
      <c r="Z35" s="725">
        <f>ROUND('Annex 2. Prices 2024'!F143,2)</f>
        <v>51.48</v>
      </c>
      <c r="AA35" s="725"/>
      <c r="AB35" s="725">
        <f>ROUND('Annex 2. Prices 2024'!F144,2)</f>
        <v>8.59</v>
      </c>
      <c r="AC35" s="725"/>
      <c r="AD35" s="713"/>
      <c r="AE35" s="714"/>
      <c r="AF35" s="714"/>
      <c r="AG35" s="714"/>
      <c r="AH35" s="714"/>
      <c r="AI35" s="714"/>
      <c r="AJ35" s="714"/>
      <c r="AK35" s="714"/>
      <c r="AL35" s="714"/>
      <c r="AM35" s="714"/>
      <c r="AN35" s="714"/>
      <c r="AO35" s="714"/>
      <c r="AP35" s="714"/>
      <c r="AQ35" s="715"/>
    </row>
    <row r="36" spans="1:43" ht="12.75" customHeight="1" x14ac:dyDescent="0.25">
      <c r="A36" s="721"/>
      <c r="B36" s="721"/>
      <c r="C36" s="716" t="s">
        <v>220</v>
      </c>
      <c r="D36" s="717"/>
      <c r="E36" s="717"/>
      <c r="F36" s="717"/>
      <c r="G36" s="717"/>
      <c r="H36" s="717"/>
      <c r="I36" s="717"/>
      <c r="J36" s="717"/>
      <c r="K36" s="717"/>
      <c r="L36" s="717"/>
      <c r="M36" s="717"/>
      <c r="N36" s="717"/>
      <c r="O36" s="717"/>
      <c r="P36" s="717"/>
      <c r="Q36" s="717"/>
      <c r="R36" s="717"/>
      <c r="S36" s="717"/>
      <c r="T36" s="717"/>
      <c r="U36" s="717"/>
      <c r="V36" s="717"/>
      <c r="W36" s="717"/>
      <c r="X36" s="717"/>
      <c r="Y36" s="717"/>
      <c r="Z36" s="717"/>
      <c r="AA36" s="717"/>
      <c r="AB36" s="717"/>
      <c r="AC36" s="717"/>
      <c r="AD36" s="717"/>
      <c r="AE36" s="717"/>
      <c r="AF36" s="717"/>
      <c r="AG36" s="717"/>
      <c r="AH36" s="717"/>
      <c r="AI36" s="717"/>
      <c r="AJ36" s="717"/>
      <c r="AK36" s="717"/>
      <c r="AL36" s="717"/>
      <c r="AM36" s="717"/>
      <c r="AN36" s="717"/>
      <c r="AO36" s="717"/>
      <c r="AP36" s="717"/>
      <c r="AQ36" s="718"/>
    </row>
    <row r="37" spans="1:43" ht="15.95" customHeight="1" x14ac:dyDescent="0.25">
      <c r="A37" s="721"/>
      <c r="B37" s="721"/>
      <c r="C37" s="716" t="s">
        <v>174</v>
      </c>
      <c r="D37" s="717"/>
      <c r="E37" s="717"/>
      <c r="F37" s="717"/>
      <c r="G37" s="717"/>
      <c r="H37" s="717"/>
      <c r="I37" s="717"/>
      <c r="J37" s="717"/>
      <c r="K37" s="717"/>
      <c r="L37" s="717"/>
      <c r="M37" s="717"/>
      <c r="N37" s="717"/>
      <c r="O37" s="717"/>
      <c r="P37" s="717"/>
      <c r="Q37" s="717"/>
      <c r="R37" s="717"/>
      <c r="S37" s="717"/>
      <c r="T37" s="717"/>
      <c r="U37" s="717"/>
      <c r="V37" s="717"/>
      <c r="W37" s="717"/>
      <c r="X37" s="717"/>
      <c r="Y37" s="718"/>
      <c r="Z37" s="716" t="s">
        <v>175</v>
      </c>
      <c r="AA37" s="717"/>
      <c r="AB37" s="717"/>
      <c r="AC37" s="717"/>
      <c r="AD37" s="717"/>
      <c r="AE37" s="717"/>
      <c r="AF37" s="717"/>
      <c r="AG37" s="717"/>
      <c r="AH37" s="717"/>
      <c r="AI37" s="717"/>
      <c r="AJ37" s="717"/>
      <c r="AK37" s="717"/>
      <c r="AL37" s="717"/>
      <c r="AM37" s="717"/>
      <c r="AN37" s="717"/>
      <c r="AO37" s="717"/>
      <c r="AP37" s="717"/>
      <c r="AQ37" s="718"/>
    </row>
    <row r="38" spans="1:43" ht="37.5" customHeight="1" x14ac:dyDescent="0.25">
      <c r="A38" s="721"/>
      <c r="B38" s="721"/>
      <c r="C38" s="719" t="s">
        <v>176</v>
      </c>
      <c r="D38" s="719"/>
      <c r="E38" s="719"/>
      <c r="F38" s="719" t="s">
        <v>224</v>
      </c>
      <c r="G38" s="719"/>
      <c r="H38" s="719"/>
      <c r="I38" s="719" t="s">
        <v>177</v>
      </c>
      <c r="J38" s="719"/>
      <c r="K38" s="719"/>
      <c r="L38" s="719" t="s">
        <v>178</v>
      </c>
      <c r="M38" s="719"/>
      <c r="N38" s="719"/>
      <c r="O38" s="719" t="s">
        <v>179</v>
      </c>
      <c r="P38" s="719"/>
      <c r="Q38" s="719"/>
      <c r="R38" s="719" t="s">
        <v>180</v>
      </c>
      <c r="S38" s="719"/>
      <c r="T38" s="719"/>
      <c r="U38" s="719"/>
      <c r="V38" s="719"/>
      <c r="W38" s="719"/>
      <c r="X38" s="719"/>
      <c r="Y38" s="719"/>
      <c r="Z38" s="719" t="s">
        <v>181</v>
      </c>
      <c r="AA38" s="719"/>
      <c r="AB38" s="719" t="s">
        <v>182</v>
      </c>
      <c r="AC38" s="719"/>
      <c r="AD38" s="719" t="s">
        <v>177</v>
      </c>
      <c r="AE38" s="719"/>
      <c r="AF38" s="719"/>
      <c r="AG38" s="719" t="s">
        <v>210</v>
      </c>
      <c r="AH38" s="719"/>
      <c r="AI38" s="719" t="s">
        <v>180</v>
      </c>
      <c r="AJ38" s="719"/>
      <c r="AK38" s="719"/>
      <c r="AL38" s="719"/>
      <c r="AM38" s="719"/>
      <c r="AN38" s="719"/>
      <c r="AO38" s="719"/>
      <c r="AP38" s="719"/>
      <c r="AQ38" s="719"/>
    </row>
    <row r="39" spans="1:43" x14ac:dyDescent="0.25">
      <c r="A39" s="722" t="s">
        <v>221</v>
      </c>
      <c r="B39" s="723"/>
      <c r="C39" s="723"/>
      <c r="D39" s="723"/>
      <c r="E39" s="723"/>
      <c r="F39" s="723"/>
      <c r="G39" s="723"/>
      <c r="H39" s="723"/>
      <c r="I39" s="723"/>
      <c r="J39" s="723"/>
      <c r="K39" s="723"/>
      <c r="L39" s="723"/>
      <c r="M39" s="723"/>
      <c r="N39" s="723"/>
      <c r="O39" s="723"/>
      <c r="P39" s="723"/>
      <c r="Q39" s="723"/>
      <c r="R39" s="723"/>
      <c r="S39" s="723"/>
      <c r="T39" s="723"/>
      <c r="U39" s="723"/>
      <c r="V39" s="723"/>
      <c r="W39" s="723"/>
      <c r="X39" s="723"/>
      <c r="Y39" s="723"/>
      <c r="Z39" s="723"/>
      <c r="AA39" s="723"/>
      <c r="AB39" s="723"/>
      <c r="AC39" s="723"/>
      <c r="AD39" s="723"/>
      <c r="AE39" s="723"/>
      <c r="AF39" s="723"/>
      <c r="AG39" s="723"/>
      <c r="AH39" s="723"/>
      <c r="AI39" s="723"/>
      <c r="AJ39" s="723"/>
      <c r="AK39" s="723"/>
      <c r="AL39" s="723"/>
      <c r="AM39" s="723"/>
      <c r="AN39" s="723"/>
      <c r="AO39" s="723"/>
      <c r="AP39" s="723"/>
      <c r="AQ39" s="724"/>
    </row>
    <row r="40" spans="1:43" ht="25.5" customHeight="1" x14ac:dyDescent="0.25">
      <c r="A40" s="720" t="s">
        <v>222</v>
      </c>
      <c r="B40" s="720"/>
      <c r="C40" s="731"/>
      <c r="D40" s="732"/>
      <c r="E40" s="732"/>
      <c r="F40" s="732"/>
      <c r="G40" s="732"/>
      <c r="H40" s="732"/>
      <c r="I40" s="732"/>
      <c r="J40" s="732"/>
      <c r="K40" s="732"/>
      <c r="L40" s="732"/>
      <c r="M40" s="732"/>
      <c r="N40" s="732"/>
      <c r="O40" s="732"/>
      <c r="P40" s="732"/>
      <c r="Q40" s="732"/>
      <c r="R40" s="732"/>
      <c r="S40" s="732"/>
      <c r="T40" s="732"/>
      <c r="U40" s="732"/>
      <c r="V40" s="732"/>
      <c r="W40" s="732"/>
      <c r="X40" s="732"/>
      <c r="Y40" s="733"/>
      <c r="Z40" s="731" t="s">
        <v>86</v>
      </c>
      <c r="AA40" s="732"/>
      <c r="AB40" s="732"/>
      <c r="AC40" s="732"/>
      <c r="AD40" s="732"/>
      <c r="AE40" s="732"/>
      <c r="AF40" s="732"/>
      <c r="AG40" s="732"/>
      <c r="AH40" s="732"/>
      <c r="AI40" s="732"/>
      <c r="AJ40" s="732"/>
      <c r="AK40" s="732"/>
      <c r="AL40" s="732"/>
      <c r="AM40" s="732"/>
      <c r="AN40" s="732"/>
      <c r="AO40" s="732"/>
      <c r="AP40" s="732"/>
      <c r="AQ40" s="733"/>
    </row>
    <row r="41" spans="1:43" ht="24.6" customHeight="1" x14ac:dyDescent="0.25">
      <c r="A41" s="738" t="s">
        <v>221</v>
      </c>
      <c r="B41" s="738"/>
      <c r="C41" s="713"/>
      <c r="D41" s="714"/>
      <c r="E41" s="714"/>
      <c r="F41" s="714"/>
      <c r="G41" s="714"/>
      <c r="H41" s="714"/>
      <c r="I41" s="714"/>
      <c r="J41" s="714"/>
      <c r="K41" s="714"/>
      <c r="L41" s="714"/>
      <c r="M41" s="714"/>
      <c r="N41" s="714"/>
      <c r="O41" s="714"/>
      <c r="P41" s="714"/>
      <c r="Q41" s="714"/>
      <c r="R41" s="714"/>
      <c r="S41" s="714"/>
      <c r="T41" s="714"/>
      <c r="U41" s="714"/>
      <c r="V41" s="714"/>
      <c r="W41" s="714"/>
      <c r="X41" s="714"/>
      <c r="Y41" s="715"/>
      <c r="Z41" s="734">
        <f>ROUND('Annex 2. Prices 2024'!F150,2)</f>
        <v>0.17</v>
      </c>
      <c r="AA41" s="735"/>
      <c r="AB41" s="735"/>
      <c r="AC41" s="735"/>
      <c r="AD41" s="735"/>
      <c r="AE41" s="735"/>
      <c r="AF41" s="735"/>
      <c r="AG41" s="735"/>
      <c r="AH41" s="735"/>
      <c r="AI41" s="735"/>
      <c r="AJ41" s="735"/>
      <c r="AK41" s="735"/>
      <c r="AL41" s="735"/>
      <c r="AM41" s="735"/>
      <c r="AN41" s="735"/>
      <c r="AO41" s="735"/>
      <c r="AP41" s="735"/>
      <c r="AQ41" s="736"/>
    </row>
    <row r="42" spans="1:43" ht="14.45" customHeight="1" x14ac:dyDescent="0.25">
      <c r="A42" s="704" t="s">
        <v>211</v>
      </c>
      <c r="B42" s="705"/>
      <c r="C42" s="705"/>
      <c r="D42" s="705"/>
      <c r="E42" s="705"/>
      <c r="F42" s="705"/>
      <c r="G42" s="705"/>
      <c r="H42" s="705"/>
      <c r="I42" s="705"/>
      <c r="J42" s="705"/>
      <c r="K42" s="705"/>
      <c r="L42" s="705"/>
      <c r="M42" s="705"/>
      <c r="N42" s="705"/>
      <c r="O42" s="705"/>
      <c r="P42" s="705"/>
      <c r="Q42" s="705"/>
      <c r="R42" s="705"/>
      <c r="S42" s="705"/>
      <c r="T42" s="705"/>
      <c r="U42" s="705"/>
      <c r="V42" s="705"/>
      <c r="W42" s="705"/>
      <c r="X42" s="705"/>
      <c r="Y42" s="705"/>
      <c r="Z42" s="705"/>
      <c r="AA42" s="705"/>
      <c r="AB42" s="705"/>
      <c r="AC42" s="705"/>
      <c r="AD42" s="705"/>
      <c r="AE42" s="705"/>
      <c r="AF42" s="705"/>
      <c r="AG42" s="705"/>
      <c r="AH42" s="705"/>
      <c r="AI42" s="705"/>
      <c r="AJ42" s="705"/>
      <c r="AK42" s="705"/>
      <c r="AL42" s="705"/>
      <c r="AM42" s="705"/>
      <c r="AN42" s="705"/>
      <c r="AO42" s="705"/>
      <c r="AP42" s="705"/>
      <c r="AQ42" s="706"/>
    </row>
    <row r="43" spans="1:43" x14ac:dyDescent="0.25">
      <c r="A43" s="707"/>
      <c r="B43" s="708"/>
      <c r="C43" s="708"/>
      <c r="D43" s="708"/>
      <c r="E43" s="708"/>
      <c r="F43" s="708"/>
      <c r="G43" s="708"/>
      <c r="H43" s="708"/>
      <c r="I43" s="708"/>
      <c r="J43" s="708"/>
      <c r="K43" s="708"/>
      <c r="L43" s="708"/>
      <c r="M43" s="708"/>
      <c r="N43" s="708"/>
      <c r="O43" s="708"/>
      <c r="P43" s="708"/>
      <c r="Q43" s="708"/>
      <c r="R43" s="708"/>
      <c r="S43" s="708"/>
      <c r="T43" s="708"/>
      <c r="U43" s="708"/>
      <c r="V43" s="708"/>
      <c r="W43" s="708"/>
      <c r="X43" s="708"/>
      <c r="Y43" s="708"/>
      <c r="Z43" s="708"/>
      <c r="AA43" s="708"/>
      <c r="AB43" s="708"/>
      <c r="AC43" s="708"/>
      <c r="AD43" s="708"/>
      <c r="AE43" s="708"/>
      <c r="AF43" s="708"/>
      <c r="AG43" s="708"/>
      <c r="AH43" s="708"/>
      <c r="AI43" s="708"/>
      <c r="AJ43" s="708"/>
      <c r="AK43" s="708"/>
      <c r="AL43" s="708"/>
      <c r="AM43" s="708"/>
      <c r="AN43" s="708"/>
      <c r="AO43" s="708"/>
      <c r="AP43" s="708"/>
      <c r="AQ43" s="709"/>
    </row>
    <row r="44" spans="1:43" x14ac:dyDescent="0.25">
      <c r="A44" s="707"/>
      <c r="B44" s="708"/>
      <c r="C44" s="708"/>
      <c r="D44" s="708"/>
      <c r="E44" s="708"/>
      <c r="F44" s="708"/>
      <c r="G44" s="708"/>
      <c r="H44" s="708"/>
      <c r="I44" s="708"/>
      <c r="J44" s="708"/>
      <c r="K44" s="708"/>
      <c r="L44" s="708"/>
      <c r="M44" s="708"/>
      <c r="N44" s="708"/>
      <c r="O44" s="708"/>
      <c r="P44" s="708"/>
      <c r="Q44" s="708"/>
      <c r="R44" s="708"/>
      <c r="S44" s="708"/>
      <c r="T44" s="708"/>
      <c r="U44" s="708"/>
      <c r="V44" s="708"/>
      <c r="W44" s="708"/>
      <c r="X44" s="708"/>
      <c r="Y44" s="708"/>
      <c r="Z44" s="708"/>
      <c r="AA44" s="708"/>
      <c r="AB44" s="708"/>
      <c r="AC44" s="708"/>
      <c r="AD44" s="708"/>
      <c r="AE44" s="708"/>
      <c r="AF44" s="708"/>
      <c r="AG44" s="708"/>
      <c r="AH44" s="708"/>
      <c r="AI44" s="708"/>
      <c r="AJ44" s="708"/>
      <c r="AK44" s="708"/>
      <c r="AL44" s="708"/>
      <c r="AM44" s="708"/>
      <c r="AN44" s="708"/>
      <c r="AO44" s="708"/>
      <c r="AP44" s="708"/>
      <c r="AQ44" s="709"/>
    </row>
    <row r="45" spans="1:43" x14ac:dyDescent="0.25">
      <c r="A45" s="707"/>
      <c r="B45" s="708"/>
      <c r="C45" s="708"/>
      <c r="D45" s="708"/>
      <c r="E45" s="708"/>
      <c r="F45" s="708"/>
      <c r="G45" s="708"/>
      <c r="H45" s="708"/>
      <c r="I45" s="708"/>
      <c r="J45" s="708"/>
      <c r="K45" s="708"/>
      <c r="L45" s="708"/>
      <c r="M45" s="708"/>
      <c r="N45" s="708"/>
      <c r="O45" s="708"/>
      <c r="P45" s="708"/>
      <c r="Q45" s="708"/>
      <c r="R45" s="708"/>
      <c r="S45" s="708"/>
      <c r="T45" s="708"/>
      <c r="U45" s="708"/>
      <c r="V45" s="708"/>
      <c r="W45" s="708"/>
      <c r="X45" s="708"/>
      <c r="Y45" s="708"/>
      <c r="Z45" s="708"/>
      <c r="AA45" s="708"/>
      <c r="AB45" s="708"/>
      <c r="AC45" s="708"/>
      <c r="AD45" s="708"/>
      <c r="AE45" s="708"/>
      <c r="AF45" s="708"/>
      <c r="AG45" s="708"/>
      <c r="AH45" s="708"/>
      <c r="AI45" s="708"/>
      <c r="AJ45" s="708"/>
      <c r="AK45" s="708"/>
      <c r="AL45" s="708"/>
      <c r="AM45" s="708"/>
      <c r="AN45" s="708"/>
      <c r="AO45" s="708"/>
      <c r="AP45" s="708"/>
      <c r="AQ45" s="709"/>
    </row>
    <row r="46" spans="1:43" x14ac:dyDescent="0.25">
      <c r="A46" s="707"/>
      <c r="B46" s="708"/>
      <c r="C46" s="708"/>
      <c r="D46" s="708"/>
      <c r="E46" s="708"/>
      <c r="F46" s="708"/>
      <c r="G46" s="708"/>
      <c r="H46" s="708"/>
      <c r="I46" s="708"/>
      <c r="J46" s="708"/>
      <c r="K46" s="708"/>
      <c r="L46" s="708"/>
      <c r="M46" s="708"/>
      <c r="N46" s="708"/>
      <c r="O46" s="708"/>
      <c r="P46" s="708"/>
      <c r="Q46" s="708"/>
      <c r="R46" s="708"/>
      <c r="S46" s="708"/>
      <c r="T46" s="708"/>
      <c r="U46" s="708"/>
      <c r="V46" s="708"/>
      <c r="W46" s="708"/>
      <c r="X46" s="708"/>
      <c r="Y46" s="708"/>
      <c r="Z46" s="708"/>
      <c r="AA46" s="708"/>
      <c r="AB46" s="708"/>
      <c r="AC46" s="708"/>
      <c r="AD46" s="708"/>
      <c r="AE46" s="708"/>
      <c r="AF46" s="708"/>
      <c r="AG46" s="708"/>
      <c r="AH46" s="708"/>
      <c r="AI46" s="708"/>
      <c r="AJ46" s="708"/>
      <c r="AK46" s="708"/>
      <c r="AL46" s="708"/>
      <c r="AM46" s="708"/>
      <c r="AN46" s="708"/>
      <c r="AO46" s="708"/>
      <c r="AP46" s="708"/>
      <c r="AQ46" s="709"/>
    </row>
    <row r="47" spans="1:43" x14ac:dyDescent="0.25">
      <c r="A47" s="707"/>
      <c r="B47" s="708"/>
      <c r="C47" s="708"/>
      <c r="D47" s="708"/>
      <c r="E47" s="708"/>
      <c r="F47" s="708"/>
      <c r="G47" s="708"/>
      <c r="H47" s="708"/>
      <c r="I47" s="708"/>
      <c r="J47" s="708"/>
      <c r="K47" s="708"/>
      <c r="L47" s="708"/>
      <c r="M47" s="708"/>
      <c r="N47" s="708"/>
      <c r="O47" s="708"/>
      <c r="P47" s="708"/>
      <c r="Q47" s="708"/>
      <c r="R47" s="708"/>
      <c r="S47" s="708"/>
      <c r="T47" s="708"/>
      <c r="U47" s="708"/>
      <c r="V47" s="708"/>
      <c r="W47" s="708"/>
      <c r="X47" s="708"/>
      <c r="Y47" s="708"/>
      <c r="Z47" s="708"/>
      <c r="AA47" s="708"/>
      <c r="AB47" s="708"/>
      <c r="AC47" s="708"/>
      <c r="AD47" s="708"/>
      <c r="AE47" s="708"/>
      <c r="AF47" s="708"/>
      <c r="AG47" s="708"/>
      <c r="AH47" s="708"/>
      <c r="AI47" s="708"/>
      <c r="AJ47" s="708"/>
      <c r="AK47" s="708"/>
      <c r="AL47" s="708"/>
      <c r="AM47" s="708"/>
      <c r="AN47" s="708"/>
      <c r="AO47" s="708"/>
      <c r="AP47" s="708"/>
      <c r="AQ47" s="709"/>
    </row>
    <row r="48" spans="1:43" x14ac:dyDescent="0.25">
      <c r="A48" s="707"/>
      <c r="B48" s="708"/>
      <c r="C48" s="708"/>
      <c r="D48" s="708"/>
      <c r="E48" s="708"/>
      <c r="F48" s="708"/>
      <c r="G48" s="708"/>
      <c r="H48" s="708"/>
      <c r="I48" s="708"/>
      <c r="J48" s="708"/>
      <c r="K48" s="708"/>
      <c r="L48" s="708"/>
      <c r="M48" s="708"/>
      <c r="N48" s="708"/>
      <c r="O48" s="708"/>
      <c r="P48" s="708"/>
      <c r="Q48" s="708"/>
      <c r="R48" s="708"/>
      <c r="S48" s="708"/>
      <c r="T48" s="708"/>
      <c r="U48" s="708"/>
      <c r="V48" s="708"/>
      <c r="W48" s="708"/>
      <c r="X48" s="708"/>
      <c r="Y48" s="708"/>
      <c r="Z48" s="708"/>
      <c r="AA48" s="708"/>
      <c r="AB48" s="708"/>
      <c r="AC48" s="708"/>
      <c r="AD48" s="708"/>
      <c r="AE48" s="708"/>
      <c r="AF48" s="708"/>
      <c r="AG48" s="708"/>
      <c r="AH48" s="708"/>
      <c r="AI48" s="708"/>
      <c r="AJ48" s="708"/>
      <c r="AK48" s="708"/>
      <c r="AL48" s="708"/>
      <c r="AM48" s="708"/>
      <c r="AN48" s="708"/>
      <c r="AO48" s="708"/>
      <c r="AP48" s="708"/>
      <c r="AQ48" s="709"/>
    </row>
    <row r="49" spans="1:43" x14ac:dyDescent="0.25">
      <c r="A49" s="707"/>
      <c r="B49" s="708"/>
      <c r="C49" s="708"/>
      <c r="D49" s="708"/>
      <c r="E49" s="708"/>
      <c r="F49" s="708"/>
      <c r="G49" s="708"/>
      <c r="H49" s="708"/>
      <c r="I49" s="708"/>
      <c r="J49" s="708"/>
      <c r="K49" s="708"/>
      <c r="L49" s="708"/>
      <c r="M49" s="708"/>
      <c r="N49" s="708"/>
      <c r="O49" s="708"/>
      <c r="P49" s="708"/>
      <c r="Q49" s="708"/>
      <c r="R49" s="708"/>
      <c r="S49" s="708"/>
      <c r="T49" s="708"/>
      <c r="U49" s="708"/>
      <c r="V49" s="708"/>
      <c r="W49" s="708"/>
      <c r="X49" s="708"/>
      <c r="Y49" s="708"/>
      <c r="Z49" s="708"/>
      <c r="AA49" s="708"/>
      <c r="AB49" s="708"/>
      <c r="AC49" s="708"/>
      <c r="AD49" s="708"/>
      <c r="AE49" s="708"/>
      <c r="AF49" s="708"/>
      <c r="AG49" s="708"/>
      <c r="AH49" s="708"/>
      <c r="AI49" s="708"/>
      <c r="AJ49" s="708"/>
      <c r="AK49" s="708"/>
      <c r="AL49" s="708"/>
      <c r="AM49" s="708"/>
      <c r="AN49" s="708"/>
      <c r="AO49" s="708"/>
      <c r="AP49" s="708"/>
      <c r="AQ49" s="709"/>
    </row>
    <row r="50" spans="1:43" ht="6" customHeight="1" x14ac:dyDescent="0.25">
      <c r="A50" s="707"/>
      <c r="B50" s="708"/>
      <c r="C50" s="708"/>
      <c r="D50" s="708"/>
      <c r="E50" s="708"/>
      <c r="F50" s="708"/>
      <c r="G50" s="708"/>
      <c r="H50" s="708"/>
      <c r="I50" s="708"/>
      <c r="J50" s="708"/>
      <c r="K50" s="708"/>
      <c r="L50" s="708"/>
      <c r="M50" s="708"/>
      <c r="N50" s="708"/>
      <c r="O50" s="708"/>
      <c r="P50" s="708"/>
      <c r="Q50" s="708"/>
      <c r="R50" s="708"/>
      <c r="S50" s="708"/>
      <c r="T50" s="708"/>
      <c r="U50" s="708"/>
      <c r="V50" s="708"/>
      <c r="W50" s="708"/>
      <c r="X50" s="708"/>
      <c r="Y50" s="708"/>
      <c r="Z50" s="708"/>
      <c r="AA50" s="708"/>
      <c r="AB50" s="708"/>
      <c r="AC50" s="708"/>
      <c r="AD50" s="708"/>
      <c r="AE50" s="708"/>
      <c r="AF50" s="708"/>
      <c r="AG50" s="708"/>
      <c r="AH50" s="708"/>
      <c r="AI50" s="708"/>
      <c r="AJ50" s="708"/>
      <c r="AK50" s="708"/>
      <c r="AL50" s="708"/>
      <c r="AM50" s="708"/>
      <c r="AN50" s="708"/>
      <c r="AO50" s="708"/>
      <c r="AP50" s="708"/>
      <c r="AQ50" s="709"/>
    </row>
    <row r="51" spans="1:43" ht="6" customHeight="1" x14ac:dyDescent="0.25">
      <c r="A51" s="707"/>
      <c r="B51" s="708"/>
      <c r="C51" s="708"/>
      <c r="D51" s="708"/>
      <c r="E51" s="708"/>
      <c r="F51" s="708"/>
      <c r="G51" s="708"/>
      <c r="H51" s="708"/>
      <c r="I51" s="708"/>
      <c r="J51" s="708"/>
      <c r="K51" s="708"/>
      <c r="L51" s="708"/>
      <c r="M51" s="708"/>
      <c r="N51" s="708"/>
      <c r="O51" s="708"/>
      <c r="P51" s="708"/>
      <c r="Q51" s="708"/>
      <c r="R51" s="708"/>
      <c r="S51" s="708"/>
      <c r="T51" s="708"/>
      <c r="U51" s="708"/>
      <c r="V51" s="708"/>
      <c r="W51" s="708"/>
      <c r="X51" s="708"/>
      <c r="Y51" s="708"/>
      <c r="Z51" s="708"/>
      <c r="AA51" s="708"/>
      <c r="AB51" s="708"/>
      <c r="AC51" s="708"/>
      <c r="AD51" s="708"/>
      <c r="AE51" s="708"/>
      <c r="AF51" s="708"/>
      <c r="AG51" s="708"/>
      <c r="AH51" s="708"/>
      <c r="AI51" s="708"/>
      <c r="AJ51" s="708"/>
      <c r="AK51" s="708"/>
      <c r="AL51" s="708"/>
      <c r="AM51" s="708"/>
      <c r="AN51" s="708"/>
      <c r="AO51" s="708"/>
      <c r="AP51" s="708"/>
      <c r="AQ51" s="709"/>
    </row>
    <row r="52" spans="1:43" ht="15" customHeight="1" x14ac:dyDescent="0.25">
      <c r="A52" s="707"/>
      <c r="B52" s="708"/>
      <c r="C52" s="708"/>
      <c r="D52" s="708"/>
      <c r="E52" s="708"/>
      <c r="F52" s="708"/>
      <c r="G52" s="708"/>
      <c r="H52" s="708"/>
      <c r="I52" s="708"/>
      <c r="J52" s="708"/>
      <c r="K52" s="708"/>
      <c r="L52" s="708"/>
      <c r="M52" s="708"/>
      <c r="N52" s="708"/>
      <c r="O52" s="708"/>
      <c r="P52" s="708"/>
      <c r="Q52" s="708"/>
      <c r="R52" s="708"/>
      <c r="S52" s="708"/>
      <c r="T52" s="708"/>
      <c r="U52" s="708"/>
      <c r="V52" s="708"/>
      <c r="W52" s="708"/>
      <c r="X52" s="708"/>
      <c r="Y52" s="708"/>
      <c r="Z52" s="708"/>
      <c r="AA52" s="708"/>
      <c r="AB52" s="708"/>
      <c r="AC52" s="708"/>
      <c r="AD52" s="708"/>
      <c r="AE52" s="708"/>
      <c r="AF52" s="708"/>
      <c r="AG52" s="708"/>
      <c r="AH52" s="708"/>
      <c r="AI52" s="708"/>
      <c r="AJ52" s="708"/>
      <c r="AK52" s="708"/>
      <c r="AL52" s="708"/>
      <c r="AM52" s="708"/>
      <c r="AN52" s="708"/>
      <c r="AO52" s="708"/>
      <c r="AP52" s="708"/>
      <c r="AQ52" s="709"/>
    </row>
    <row r="53" spans="1:43" ht="35.450000000000003" customHeight="1" x14ac:dyDescent="0.25">
      <c r="A53" s="710"/>
      <c r="B53" s="711"/>
      <c r="C53" s="711"/>
      <c r="D53" s="711"/>
      <c r="E53" s="711"/>
      <c r="F53" s="711"/>
      <c r="G53" s="711"/>
      <c r="H53" s="711"/>
      <c r="I53" s="711"/>
      <c r="J53" s="711"/>
      <c r="K53" s="711"/>
      <c r="L53" s="711"/>
      <c r="M53" s="711"/>
      <c r="N53" s="711"/>
      <c r="O53" s="711"/>
      <c r="P53" s="711"/>
      <c r="Q53" s="711"/>
      <c r="R53" s="711"/>
      <c r="S53" s="711"/>
      <c r="T53" s="711"/>
      <c r="U53" s="711"/>
      <c r="V53" s="711"/>
      <c r="W53" s="711"/>
      <c r="X53" s="711"/>
      <c r="Y53" s="711"/>
      <c r="Z53" s="711"/>
      <c r="AA53" s="711"/>
      <c r="AB53" s="711"/>
      <c r="AC53" s="711"/>
      <c r="AD53" s="711"/>
      <c r="AE53" s="711"/>
      <c r="AF53" s="711"/>
      <c r="AG53" s="711"/>
      <c r="AH53" s="711"/>
      <c r="AI53" s="711"/>
      <c r="AJ53" s="711"/>
      <c r="AK53" s="711"/>
      <c r="AL53" s="711"/>
      <c r="AM53" s="711"/>
      <c r="AN53" s="711"/>
      <c r="AO53" s="711"/>
      <c r="AP53" s="711"/>
      <c r="AQ53" s="712"/>
    </row>
  </sheetData>
  <mergeCells count="222">
    <mergeCell ref="A8:B8"/>
    <mergeCell ref="C9:E9"/>
    <mergeCell ref="C10:E10"/>
    <mergeCell ref="C11:E11"/>
    <mergeCell ref="C12:E12"/>
    <mergeCell ref="O11:Q11"/>
    <mergeCell ref="O12:Q12"/>
    <mergeCell ref="I11:K11"/>
    <mergeCell ref="I12:K12"/>
    <mergeCell ref="A9:B9"/>
    <mergeCell ref="A10:B10"/>
    <mergeCell ref="A11:B11"/>
    <mergeCell ref="A12:B12"/>
    <mergeCell ref="F11:H11"/>
    <mergeCell ref="F12:H12"/>
    <mergeCell ref="L10:N10"/>
    <mergeCell ref="L12:N12"/>
    <mergeCell ref="L11:N11"/>
    <mergeCell ref="I9:K9"/>
    <mergeCell ref="C8:T8"/>
    <mergeCell ref="I10:K10"/>
    <mergeCell ref="L9:N9"/>
    <mergeCell ref="F9:H9"/>
    <mergeCell ref="F10:H10"/>
    <mergeCell ref="A6:B6"/>
    <mergeCell ref="A5:B5"/>
    <mergeCell ref="A1:B3"/>
    <mergeCell ref="AB3:AC3"/>
    <mergeCell ref="Z3:AA3"/>
    <mergeCell ref="I3:K3"/>
    <mergeCell ref="I6:K6"/>
    <mergeCell ref="AG6:AH6"/>
    <mergeCell ref="C3:E3"/>
    <mergeCell ref="F6:H6"/>
    <mergeCell ref="F3:H3"/>
    <mergeCell ref="AG3:AH3"/>
    <mergeCell ref="O3:Q3"/>
    <mergeCell ref="O6:Q6"/>
    <mergeCell ref="L3:N3"/>
    <mergeCell ref="L6:N6"/>
    <mergeCell ref="Z6:AA6"/>
    <mergeCell ref="AB6:AC6"/>
    <mergeCell ref="R3:Y3"/>
    <mergeCell ref="U5:Y5"/>
    <mergeCell ref="U6:Y6"/>
    <mergeCell ref="C6:E6"/>
    <mergeCell ref="Z2:AQ2"/>
    <mergeCell ref="C1:AQ1"/>
    <mergeCell ref="A14:B14"/>
    <mergeCell ref="A15:B15"/>
    <mergeCell ref="A16:B16"/>
    <mergeCell ref="A17:B17"/>
    <mergeCell ref="A18:B18"/>
    <mergeCell ref="A19:B19"/>
    <mergeCell ref="A20:B20"/>
    <mergeCell ref="A21:B21"/>
    <mergeCell ref="A22:B22"/>
    <mergeCell ref="W17:X17"/>
    <mergeCell ref="W18:X18"/>
    <mergeCell ref="U21:V21"/>
    <mergeCell ref="U22:V22"/>
    <mergeCell ref="U23:V23"/>
    <mergeCell ref="U24:V24"/>
    <mergeCell ref="W21:X21"/>
    <mergeCell ref="W22:X22"/>
    <mergeCell ref="W23:X23"/>
    <mergeCell ref="W24:X24"/>
    <mergeCell ref="AL22:AM22"/>
    <mergeCell ref="AL23:AM23"/>
    <mergeCell ref="AL24:AM24"/>
    <mergeCell ref="AL25:AM25"/>
    <mergeCell ref="U15:V15"/>
    <mergeCell ref="AG12:AH12"/>
    <mergeCell ref="AG9:AH9"/>
    <mergeCell ref="AG10:AH10"/>
    <mergeCell ref="O9:Q9"/>
    <mergeCell ref="O10:Q10"/>
    <mergeCell ref="R11:T11"/>
    <mergeCell ref="R12:T12"/>
    <mergeCell ref="U19:V19"/>
    <mergeCell ref="U20:V20"/>
    <mergeCell ref="W20:X20"/>
    <mergeCell ref="Z9:AA9"/>
    <mergeCell ref="AB9:AC9"/>
    <mergeCell ref="Z10:AA10"/>
    <mergeCell ref="AB10:AC10"/>
    <mergeCell ref="R9:T9"/>
    <mergeCell ref="R10:T10"/>
    <mergeCell ref="W25:X25"/>
    <mergeCell ref="U25:V25"/>
    <mergeCell ref="W16:X16"/>
    <mergeCell ref="A26:B26"/>
    <mergeCell ref="U26:V26"/>
    <mergeCell ref="AN26:AO26"/>
    <mergeCell ref="W26:X26"/>
    <mergeCell ref="Z34:AC34"/>
    <mergeCell ref="A24:B24"/>
    <mergeCell ref="A25:B25"/>
    <mergeCell ref="AL15:AM15"/>
    <mergeCell ref="AL16:AM16"/>
    <mergeCell ref="AL17:AM17"/>
    <mergeCell ref="AL18:AM18"/>
    <mergeCell ref="AL19:AM19"/>
    <mergeCell ref="AL20:AM20"/>
    <mergeCell ref="AN17:AO17"/>
    <mergeCell ref="AN24:AO24"/>
    <mergeCell ref="AN25:AO25"/>
    <mergeCell ref="AN15:AO15"/>
    <mergeCell ref="AN16:AO16"/>
    <mergeCell ref="AN21:AO21"/>
    <mergeCell ref="AN22:AO22"/>
    <mergeCell ref="AN18:AO18"/>
    <mergeCell ref="AN19:AO19"/>
    <mergeCell ref="AN20:AO20"/>
    <mergeCell ref="AL21:AM21"/>
    <mergeCell ref="O32:Q32"/>
    <mergeCell ref="R32:Y32"/>
    <mergeCell ref="C31:Y31"/>
    <mergeCell ref="AD32:AF32"/>
    <mergeCell ref="AI32:AQ32"/>
    <mergeCell ref="C34:Y34"/>
    <mergeCell ref="C35:Y35"/>
    <mergeCell ref="A34:B34"/>
    <mergeCell ref="Z32:AA32"/>
    <mergeCell ref="AB32:AC32"/>
    <mergeCell ref="AG32:AH32"/>
    <mergeCell ref="A30:B32"/>
    <mergeCell ref="A33:AQ33"/>
    <mergeCell ref="AD34:AQ34"/>
    <mergeCell ref="A4:AQ4"/>
    <mergeCell ref="AP16:AQ16"/>
    <mergeCell ref="AP17:AQ17"/>
    <mergeCell ref="AP18:AQ18"/>
    <mergeCell ref="AP19:AQ19"/>
    <mergeCell ref="AP20:AQ20"/>
    <mergeCell ref="AP21:AQ21"/>
    <mergeCell ref="AP22:AQ22"/>
    <mergeCell ref="AP23:AQ23"/>
    <mergeCell ref="AL5:AQ5"/>
    <mergeCell ref="AL6:AQ6"/>
    <mergeCell ref="A13:AQ13"/>
    <mergeCell ref="AN23:AO23"/>
    <mergeCell ref="A23:B23"/>
    <mergeCell ref="W15:X15"/>
    <mergeCell ref="AG11:AH11"/>
    <mergeCell ref="Z11:AA11"/>
    <mergeCell ref="AB11:AC11"/>
    <mergeCell ref="Z12:AA12"/>
    <mergeCell ref="AB12:AC12"/>
    <mergeCell ref="W19:X19"/>
    <mergeCell ref="U16:V16"/>
    <mergeCell ref="U17:V17"/>
    <mergeCell ref="U18:V18"/>
    <mergeCell ref="C2:Y2"/>
    <mergeCell ref="AD3:AF3"/>
    <mergeCell ref="AD6:AF6"/>
    <mergeCell ref="AD9:AF9"/>
    <mergeCell ref="AD10:AF10"/>
    <mergeCell ref="AD11:AF11"/>
    <mergeCell ref="AD12:AF12"/>
    <mergeCell ref="Z5:AK5"/>
    <mergeCell ref="AI6:AK6"/>
    <mergeCell ref="AI9:AK9"/>
    <mergeCell ref="Z8:AK8"/>
    <mergeCell ref="AI10:AK10"/>
    <mergeCell ref="AI11:AK11"/>
    <mergeCell ref="AI12:AK12"/>
    <mergeCell ref="U8:Y8"/>
    <mergeCell ref="U9:Y9"/>
    <mergeCell ref="U10:Y10"/>
    <mergeCell ref="A7:AQ7"/>
    <mergeCell ref="AL8:AQ8"/>
    <mergeCell ref="AL9:AQ9"/>
    <mergeCell ref="AL10:AQ10"/>
    <mergeCell ref="AL11:AQ11"/>
    <mergeCell ref="AL12:AQ12"/>
    <mergeCell ref="AI3:AQ3"/>
    <mergeCell ref="AP15:AQ15"/>
    <mergeCell ref="AL14:AQ14"/>
    <mergeCell ref="U11:Y11"/>
    <mergeCell ref="U12:Y12"/>
    <mergeCell ref="U14:Y14"/>
    <mergeCell ref="R6:T6"/>
    <mergeCell ref="C5:T5"/>
    <mergeCell ref="C40:Y40"/>
    <mergeCell ref="C41:Y41"/>
    <mergeCell ref="Z40:AQ40"/>
    <mergeCell ref="Z41:AQ41"/>
    <mergeCell ref="AL26:AM26"/>
    <mergeCell ref="A27:AQ29"/>
    <mergeCell ref="C30:AQ30"/>
    <mergeCell ref="Z31:AQ31"/>
    <mergeCell ref="C32:E32"/>
    <mergeCell ref="F32:H32"/>
    <mergeCell ref="I32:K32"/>
    <mergeCell ref="L32:N32"/>
    <mergeCell ref="AP24:AQ24"/>
    <mergeCell ref="AP25:AQ25"/>
    <mergeCell ref="AP26:AQ26"/>
    <mergeCell ref="A41:B41"/>
    <mergeCell ref="AB38:AC38"/>
    <mergeCell ref="A42:AQ53"/>
    <mergeCell ref="AD35:AQ35"/>
    <mergeCell ref="C36:AQ36"/>
    <mergeCell ref="C38:E38"/>
    <mergeCell ref="F38:H38"/>
    <mergeCell ref="I38:K38"/>
    <mergeCell ref="L38:N38"/>
    <mergeCell ref="O38:Q38"/>
    <mergeCell ref="R38:Y38"/>
    <mergeCell ref="C37:Y37"/>
    <mergeCell ref="Z37:AQ37"/>
    <mergeCell ref="AD38:AF38"/>
    <mergeCell ref="AI38:AQ38"/>
    <mergeCell ref="AG38:AH38"/>
    <mergeCell ref="A40:B40"/>
    <mergeCell ref="A36:B38"/>
    <mergeCell ref="Z38:AA38"/>
    <mergeCell ref="A39:AQ39"/>
    <mergeCell ref="A35:B35"/>
    <mergeCell ref="Z35:AA35"/>
    <mergeCell ref="AB35:AC35"/>
  </mergeCells>
  <phoneticPr fontId="53" type="noConversion"/>
  <pageMargins left="0.25" right="0.25" top="0.88541666666666663" bottom="0.75" header="0.3" footer="0.3"/>
  <pageSetup paperSize="258" fitToHeight="0" orientation="landscape" r:id="rId1"/>
  <headerFooter>
    <oddHeader>&amp;C&amp;"-,Bold"Natural Gas Transmission Tariffs (VAT excluded) effective from 1 January 2024</oddHeader>
  </headerFooter>
  <rowBreaks count="1" manualBreakCount="1">
    <brk id="29"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961694-7841-42D8-A611-FC4A2D07FCBC}">
  <dimension ref="A1:AQ39"/>
  <sheetViews>
    <sheetView view="pageLayout" zoomScaleNormal="100" workbookViewId="0">
      <selection activeCell="U21" sqref="U21:V21"/>
    </sheetView>
  </sheetViews>
  <sheetFormatPr defaultColWidth="8.7109375" defaultRowHeight="15" x14ac:dyDescent="0.25"/>
  <cols>
    <col min="1" max="1" width="4.85546875" customWidth="1"/>
    <col min="2" max="2" width="5.42578125" customWidth="1"/>
    <col min="3" max="17" width="4.5703125" customWidth="1"/>
    <col min="18" max="20" width="4.5703125" hidden="1" customWidth="1"/>
    <col min="21" max="21" width="3.42578125" customWidth="1"/>
    <col min="22" max="22" width="5.28515625" customWidth="1"/>
    <col min="23" max="23" width="3.42578125" customWidth="1"/>
    <col min="24" max="24" width="5.42578125" customWidth="1"/>
    <col min="25" max="25" width="7.42578125" customWidth="1"/>
    <col min="26" max="32" width="6" customWidth="1"/>
    <col min="33" max="33" width="7.140625" customWidth="1"/>
    <col min="34" max="34" width="6" customWidth="1"/>
    <col min="35" max="35" width="4" hidden="1" customWidth="1"/>
    <col min="36" max="37" width="4.28515625" hidden="1" customWidth="1"/>
    <col min="38" max="38" width="3.42578125" customWidth="1"/>
    <col min="39" max="39" width="3.7109375" customWidth="1"/>
    <col min="40" max="40" width="3.42578125" customWidth="1"/>
    <col min="41" max="41" width="5" customWidth="1"/>
    <col min="42" max="42" width="5.42578125" customWidth="1"/>
    <col min="43" max="43" width="4" customWidth="1"/>
  </cols>
  <sheetData>
    <row r="1" spans="1:43" ht="12" customHeight="1" x14ac:dyDescent="0.25">
      <c r="A1" s="721"/>
      <c r="B1" s="721"/>
      <c r="C1" s="738" t="s">
        <v>212</v>
      </c>
      <c r="D1" s="738"/>
      <c r="E1" s="738"/>
      <c r="F1" s="738"/>
      <c r="G1" s="738"/>
      <c r="H1" s="738"/>
      <c r="I1" s="738"/>
      <c r="J1" s="738"/>
      <c r="K1" s="738"/>
      <c r="L1" s="738"/>
      <c r="M1" s="738"/>
      <c r="N1" s="738"/>
      <c r="O1" s="738"/>
      <c r="P1" s="738"/>
      <c r="Q1" s="738"/>
      <c r="R1" s="738"/>
      <c r="S1" s="738"/>
      <c r="T1" s="738"/>
      <c r="U1" s="738"/>
      <c r="V1" s="738"/>
      <c r="W1" s="738"/>
      <c r="X1" s="738"/>
      <c r="Y1" s="738"/>
      <c r="Z1" s="738"/>
      <c r="AA1" s="738"/>
      <c r="AB1" s="738"/>
      <c r="AC1" s="738"/>
      <c r="AD1" s="738"/>
      <c r="AE1" s="738"/>
      <c r="AF1" s="738"/>
      <c r="AG1" s="738"/>
      <c r="AH1" s="738"/>
      <c r="AI1" s="738"/>
      <c r="AJ1" s="738"/>
      <c r="AK1" s="738"/>
      <c r="AL1" s="738"/>
      <c r="AM1" s="738"/>
      <c r="AN1" s="738"/>
      <c r="AO1" s="738"/>
      <c r="AP1" s="738"/>
      <c r="AQ1" s="738"/>
    </row>
    <row r="2" spans="1:43" ht="14.45" customHeight="1" x14ac:dyDescent="0.25">
      <c r="A2" s="721"/>
      <c r="B2" s="721"/>
      <c r="C2" s="738" t="s">
        <v>174</v>
      </c>
      <c r="D2" s="738"/>
      <c r="E2" s="738"/>
      <c r="F2" s="738"/>
      <c r="G2" s="738"/>
      <c r="H2" s="738"/>
      <c r="I2" s="738"/>
      <c r="J2" s="738"/>
      <c r="K2" s="738"/>
      <c r="L2" s="738"/>
      <c r="M2" s="738"/>
      <c r="N2" s="738"/>
      <c r="O2" s="738"/>
      <c r="P2" s="738"/>
      <c r="Q2" s="738"/>
      <c r="R2" s="738"/>
      <c r="S2" s="738"/>
      <c r="T2" s="738"/>
      <c r="U2" s="738"/>
      <c r="V2" s="738"/>
      <c r="W2" s="738"/>
      <c r="X2" s="738"/>
      <c r="Y2" s="738"/>
      <c r="Z2" s="738" t="s">
        <v>175</v>
      </c>
      <c r="AA2" s="738"/>
      <c r="AB2" s="738"/>
      <c r="AC2" s="738"/>
      <c r="AD2" s="738"/>
      <c r="AE2" s="738"/>
      <c r="AF2" s="738"/>
      <c r="AG2" s="738"/>
      <c r="AH2" s="738"/>
      <c r="AI2" s="738"/>
      <c r="AJ2" s="738"/>
      <c r="AK2" s="738"/>
      <c r="AL2" s="738"/>
      <c r="AM2" s="738"/>
      <c r="AN2" s="738"/>
      <c r="AO2" s="738"/>
      <c r="AP2" s="738"/>
      <c r="AQ2" s="738"/>
    </row>
    <row r="3" spans="1:43" ht="30" customHeight="1" x14ac:dyDescent="0.25">
      <c r="A3" s="721"/>
      <c r="B3" s="721"/>
      <c r="C3" s="719" t="s">
        <v>176</v>
      </c>
      <c r="D3" s="719"/>
      <c r="E3" s="719"/>
      <c r="F3" s="719" t="s">
        <v>224</v>
      </c>
      <c r="G3" s="719"/>
      <c r="H3" s="719"/>
      <c r="I3" s="719" t="s">
        <v>177</v>
      </c>
      <c r="J3" s="719"/>
      <c r="K3" s="719"/>
      <c r="L3" s="719" t="s">
        <v>178</v>
      </c>
      <c r="M3" s="719"/>
      <c r="N3" s="719"/>
      <c r="O3" s="719" t="s">
        <v>179</v>
      </c>
      <c r="P3" s="719"/>
      <c r="Q3" s="719"/>
      <c r="R3" s="719" t="s">
        <v>180</v>
      </c>
      <c r="S3" s="719"/>
      <c r="T3" s="719"/>
      <c r="U3" s="719"/>
      <c r="V3" s="719"/>
      <c r="W3" s="719"/>
      <c r="X3" s="719"/>
      <c r="Y3" s="719"/>
      <c r="Z3" s="719" t="s">
        <v>181</v>
      </c>
      <c r="AA3" s="719"/>
      <c r="AB3" s="719" t="s">
        <v>182</v>
      </c>
      <c r="AC3" s="719"/>
      <c r="AD3" s="719" t="s">
        <v>177</v>
      </c>
      <c r="AE3" s="719"/>
      <c r="AF3" s="719"/>
      <c r="AG3" s="719" t="s">
        <v>210</v>
      </c>
      <c r="AH3" s="719"/>
      <c r="AI3" s="719" t="s">
        <v>180</v>
      </c>
      <c r="AJ3" s="719"/>
      <c r="AK3" s="719"/>
      <c r="AL3" s="719"/>
      <c r="AM3" s="719"/>
      <c r="AN3" s="719"/>
      <c r="AO3" s="719"/>
      <c r="AP3" s="719"/>
      <c r="AQ3" s="719"/>
    </row>
    <row r="4" spans="1:43" ht="12.95" customHeight="1" x14ac:dyDescent="0.25">
      <c r="A4" s="747" t="s">
        <v>223</v>
      </c>
      <c r="B4" s="747"/>
      <c r="C4" s="747"/>
      <c r="D4" s="747"/>
      <c r="E4" s="747"/>
      <c r="F4" s="747"/>
      <c r="G4" s="747"/>
      <c r="H4" s="747"/>
      <c r="I4" s="747"/>
      <c r="J4" s="747"/>
      <c r="K4" s="747"/>
      <c r="L4" s="747"/>
      <c r="M4" s="747"/>
      <c r="N4" s="747"/>
      <c r="O4" s="747"/>
      <c r="P4" s="747"/>
      <c r="Q4" s="747"/>
      <c r="R4" s="747"/>
      <c r="S4" s="747"/>
      <c r="T4" s="747"/>
      <c r="U4" s="747"/>
      <c r="V4" s="747"/>
      <c r="W4" s="747"/>
      <c r="X4" s="747"/>
      <c r="Y4" s="747"/>
      <c r="Z4" s="747"/>
      <c r="AA4" s="747"/>
      <c r="AB4" s="747"/>
      <c r="AC4" s="747"/>
      <c r="AD4" s="747"/>
      <c r="AE4" s="747"/>
      <c r="AF4" s="747"/>
      <c r="AG4" s="747"/>
      <c r="AH4" s="747"/>
      <c r="AI4" s="747"/>
      <c r="AJ4" s="747"/>
      <c r="AK4" s="747"/>
      <c r="AL4" s="747"/>
      <c r="AM4" s="747"/>
      <c r="AN4" s="747"/>
      <c r="AO4" s="747"/>
      <c r="AP4" s="747"/>
      <c r="AQ4" s="747"/>
    </row>
    <row r="5" spans="1:43" ht="25.5" customHeight="1" x14ac:dyDescent="0.25">
      <c r="A5" s="720" t="s">
        <v>185</v>
      </c>
      <c r="B5" s="720"/>
      <c r="C5" s="730" t="s">
        <v>184</v>
      </c>
      <c r="D5" s="730"/>
      <c r="E5" s="730"/>
      <c r="F5" s="730"/>
      <c r="G5" s="730"/>
      <c r="H5" s="730"/>
      <c r="I5" s="730"/>
      <c r="J5" s="730"/>
      <c r="K5" s="730"/>
      <c r="L5" s="730"/>
      <c r="M5" s="730"/>
      <c r="N5" s="730"/>
      <c r="O5" s="730"/>
      <c r="P5" s="730"/>
      <c r="Q5" s="730"/>
      <c r="R5" s="730"/>
      <c r="S5" s="730"/>
      <c r="T5" s="730"/>
      <c r="U5" s="719" t="s">
        <v>183</v>
      </c>
      <c r="V5" s="719"/>
      <c r="W5" s="719"/>
      <c r="X5" s="719"/>
      <c r="Y5" s="719"/>
      <c r="Z5" s="730" t="s">
        <v>184</v>
      </c>
      <c r="AA5" s="730"/>
      <c r="AB5" s="730"/>
      <c r="AC5" s="730"/>
      <c r="AD5" s="730"/>
      <c r="AE5" s="730"/>
      <c r="AF5" s="730"/>
      <c r="AG5" s="730"/>
      <c r="AH5" s="730"/>
      <c r="AI5" s="730"/>
      <c r="AJ5" s="730"/>
      <c r="AK5" s="730"/>
      <c r="AL5" s="741" t="s">
        <v>183</v>
      </c>
      <c r="AM5" s="742"/>
      <c r="AN5" s="742"/>
      <c r="AO5" s="742"/>
      <c r="AP5" s="742"/>
      <c r="AQ5" s="743"/>
    </row>
    <row r="6" spans="1:43" ht="36.75" customHeight="1" x14ac:dyDescent="0.25">
      <c r="A6" s="720" t="s">
        <v>186</v>
      </c>
      <c r="B6" s="720"/>
      <c r="C6" s="739">
        <f>ROUND('Annex 2. 2024 Firm'!C6*90%,2)</f>
        <v>128.49</v>
      </c>
      <c r="D6" s="739"/>
      <c r="E6" s="739"/>
      <c r="F6" s="739">
        <f>ROUND('Annex 2. 2024 Firm'!F6*90%,2)</f>
        <v>32.36</v>
      </c>
      <c r="G6" s="739"/>
      <c r="H6" s="739"/>
      <c r="I6" s="739">
        <f>ROUND('Annex 2. 2024 Firm'!I6*90%,2)</f>
        <v>128.49</v>
      </c>
      <c r="J6" s="739"/>
      <c r="K6" s="739"/>
      <c r="L6" s="739">
        <f>ROUND('Annex 2. 2024 Firm'!L6*90%,2)</f>
        <v>128.49</v>
      </c>
      <c r="M6" s="739"/>
      <c r="N6" s="739"/>
      <c r="O6" s="739">
        <f>ROUND('Annex 2. 2024 Firm'!O6*90%,2)</f>
        <v>128.49</v>
      </c>
      <c r="P6" s="739"/>
      <c r="Q6" s="739"/>
      <c r="R6" s="729"/>
      <c r="S6" s="729"/>
      <c r="T6" s="729"/>
      <c r="U6" s="728">
        <f>ROUND('Annex 2. 2024 Firm'!U6*90%,6)</f>
        <v>3.5100000000000002E-4</v>
      </c>
      <c r="V6" s="728"/>
      <c r="W6" s="728"/>
      <c r="X6" s="728"/>
      <c r="Y6" s="728"/>
      <c r="Z6" s="739">
        <f>ROUND('Annex 2. 2024 Firm'!Z6*90%,2)</f>
        <v>97.14</v>
      </c>
      <c r="AA6" s="739"/>
      <c r="AB6" s="739">
        <f>ROUND('Annex 2. 2024 Firm'!AB6*90%,2)</f>
        <v>63.25</v>
      </c>
      <c r="AC6" s="739"/>
      <c r="AD6" s="739">
        <f>ROUND('Annex 2. 2024 Firm'!AD6*90%,2)</f>
        <v>98.34</v>
      </c>
      <c r="AE6" s="739"/>
      <c r="AF6" s="739"/>
      <c r="AG6" s="739">
        <f>ROUND('Annex 2. 2024 Firm'!AG6*90%,2)</f>
        <v>36.5</v>
      </c>
      <c r="AH6" s="739"/>
      <c r="AI6" s="739"/>
      <c r="AJ6" s="739"/>
      <c r="AK6" s="739"/>
      <c r="AL6" s="744">
        <f>ROUND('Annex 2. 2024 Firm'!AL6*90%,6)</f>
        <v>2.6899999999999998E-4</v>
      </c>
      <c r="AM6" s="745"/>
      <c r="AN6" s="745"/>
      <c r="AO6" s="745"/>
      <c r="AP6" s="745"/>
      <c r="AQ6" s="746"/>
    </row>
    <row r="7" spans="1:43" x14ac:dyDescent="0.25">
      <c r="A7" s="722" t="s">
        <v>187</v>
      </c>
      <c r="B7" s="723"/>
      <c r="C7" s="723"/>
      <c r="D7" s="723"/>
      <c r="E7" s="723"/>
      <c r="F7" s="723"/>
      <c r="G7" s="723"/>
      <c r="H7" s="723"/>
      <c r="I7" s="723"/>
      <c r="J7" s="723"/>
      <c r="K7" s="723"/>
      <c r="L7" s="723"/>
      <c r="M7" s="723"/>
      <c r="N7" s="723"/>
      <c r="O7" s="723"/>
      <c r="P7" s="723"/>
      <c r="Q7" s="723"/>
      <c r="R7" s="723"/>
      <c r="S7" s="723"/>
      <c r="T7" s="723"/>
      <c r="U7" s="723"/>
      <c r="V7" s="723"/>
      <c r="W7" s="723"/>
      <c r="X7" s="723"/>
      <c r="Y7" s="723"/>
      <c r="Z7" s="723"/>
      <c r="AA7" s="723"/>
      <c r="AB7" s="723"/>
      <c r="AC7" s="723"/>
      <c r="AD7" s="723"/>
      <c r="AE7" s="723"/>
      <c r="AF7" s="723"/>
      <c r="AG7" s="723"/>
      <c r="AH7" s="723"/>
      <c r="AI7" s="723"/>
      <c r="AJ7" s="723"/>
      <c r="AK7" s="723"/>
      <c r="AL7" s="723"/>
      <c r="AM7" s="723"/>
      <c r="AN7" s="723"/>
      <c r="AO7" s="723"/>
      <c r="AP7" s="723"/>
      <c r="AQ7" s="724"/>
    </row>
    <row r="8" spans="1:43" ht="25.5" customHeight="1" x14ac:dyDescent="0.25">
      <c r="A8" s="720" t="s">
        <v>185</v>
      </c>
      <c r="B8" s="720"/>
      <c r="C8" s="730" t="s">
        <v>192</v>
      </c>
      <c r="D8" s="730"/>
      <c r="E8" s="730"/>
      <c r="F8" s="730"/>
      <c r="G8" s="730"/>
      <c r="H8" s="730"/>
      <c r="I8" s="730"/>
      <c r="J8" s="730"/>
      <c r="K8" s="730"/>
      <c r="L8" s="730"/>
      <c r="M8" s="730"/>
      <c r="N8" s="730"/>
      <c r="O8" s="730"/>
      <c r="P8" s="730"/>
      <c r="Q8" s="730"/>
      <c r="R8" s="730"/>
      <c r="S8" s="730"/>
      <c r="T8" s="730"/>
      <c r="U8" s="719" t="s">
        <v>183</v>
      </c>
      <c r="V8" s="719"/>
      <c r="W8" s="719"/>
      <c r="X8" s="719"/>
      <c r="Y8" s="719"/>
      <c r="Z8" s="730" t="s">
        <v>192</v>
      </c>
      <c r="AA8" s="730"/>
      <c r="AB8" s="730"/>
      <c r="AC8" s="730"/>
      <c r="AD8" s="730"/>
      <c r="AE8" s="730"/>
      <c r="AF8" s="730"/>
      <c r="AG8" s="730"/>
      <c r="AH8" s="730"/>
      <c r="AI8" s="730"/>
      <c r="AJ8" s="730"/>
      <c r="AK8" s="730"/>
      <c r="AL8" s="741" t="s">
        <v>183</v>
      </c>
      <c r="AM8" s="742"/>
      <c r="AN8" s="742"/>
      <c r="AO8" s="742"/>
      <c r="AP8" s="742"/>
      <c r="AQ8" s="743"/>
    </row>
    <row r="9" spans="1:43" x14ac:dyDescent="0.25">
      <c r="A9" s="720" t="s">
        <v>188</v>
      </c>
      <c r="B9" s="720"/>
      <c r="C9" s="740">
        <f>ROUND('Annex 2. 2024 Firm'!C9*90%,2)</f>
        <v>35.15</v>
      </c>
      <c r="D9" s="740"/>
      <c r="E9" s="740"/>
      <c r="F9" s="740">
        <f>ROUND('Annex 2. 2024 Firm'!F9*90%,2)</f>
        <v>8.85</v>
      </c>
      <c r="G9" s="740"/>
      <c r="H9" s="740"/>
      <c r="I9" s="740">
        <f>ROUND('Annex 2. 2024 Firm'!I9*90%,2)</f>
        <v>35.15</v>
      </c>
      <c r="J9" s="740"/>
      <c r="K9" s="740"/>
      <c r="L9" s="740">
        <f>ROUND('Annex 2. 2024 Firm'!L9*90%,2)</f>
        <v>35.15</v>
      </c>
      <c r="M9" s="740"/>
      <c r="N9" s="740"/>
      <c r="O9" s="740">
        <f>ROUND('Annex 2. 2024 Firm'!O9*90%,2)</f>
        <v>35.15</v>
      </c>
      <c r="P9" s="740"/>
      <c r="Q9" s="740"/>
      <c r="R9" s="740"/>
      <c r="S9" s="740"/>
      <c r="T9" s="740"/>
      <c r="U9" s="728">
        <f>ROUND('Annex 2. 2024 Firm'!U9*90%,6)</f>
        <v>3.86E-4</v>
      </c>
      <c r="V9" s="728"/>
      <c r="W9" s="728"/>
      <c r="X9" s="728"/>
      <c r="Y9" s="728"/>
      <c r="Z9" s="739">
        <f>ROUND('Annex 2. 2024 Firm'!Z9*90%,2)</f>
        <v>45.29</v>
      </c>
      <c r="AA9" s="739"/>
      <c r="AB9" s="739">
        <f>ROUND('Annex 2. 2024 Firm'!AB9*90%,2)</f>
        <v>29.48</v>
      </c>
      <c r="AC9" s="739"/>
      <c r="AD9" s="739">
        <f>ROUND('Annex 2. 2024 Firm'!AD9*90%,2)</f>
        <v>26.9</v>
      </c>
      <c r="AE9" s="739"/>
      <c r="AF9" s="739"/>
      <c r="AG9" s="739">
        <f>ROUND('Annex 2. 2024 Firm'!AG9*90%,2)</f>
        <v>17.010000000000002</v>
      </c>
      <c r="AH9" s="739"/>
      <c r="AI9" s="740"/>
      <c r="AJ9" s="740"/>
      <c r="AK9" s="740"/>
      <c r="AL9" s="744">
        <f>ROUND('Annex 2. 2024 Firm'!AL9*90%,6)</f>
        <v>2.9500000000000001E-4</v>
      </c>
      <c r="AM9" s="745"/>
      <c r="AN9" s="745"/>
      <c r="AO9" s="745"/>
      <c r="AP9" s="745"/>
      <c r="AQ9" s="746"/>
    </row>
    <row r="10" spans="1:43" x14ac:dyDescent="0.25">
      <c r="A10" s="720" t="s">
        <v>189</v>
      </c>
      <c r="B10" s="720"/>
      <c r="C10" s="740">
        <f>ROUND('Annex 2. 2024 Firm'!C10*90%,2)</f>
        <v>35.15</v>
      </c>
      <c r="D10" s="740"/>
      <c r="E10" s="740"/>
      <c r="F10" s="740">
        <f>ROUND('Annex 2. 2024 Firm'!F10*90%,2)</f>
        <v>8.85</v>
      </c>
      <c r="G10" s="740"/>
      <c r="H10" s="740"/>
      <c r="I10" s="740">
        <f>ROUND('Annex 2. 2024 Firm'!I10*90%,2)</f>
        <v>35.15</v>
      </c>
      <c r="J10" s="740"/>
      <c r="K10" s="740"/>
      <c r="L10" s="740">
        <f>ROUND('Annex 2. 2024 Firm'!L10*90%,2)</f>
        <v>35.15</v>
      </c>
      <c r="M10" s="740"/>
      <c r="N10" s="740"/>
      <c r="O10" s="740">
        <f>ROUND('Annex 2. 2024 Firm'!O10*90%,2)</f>
        <v>35.15</v>
      </c>
      <c r="P10" s="740"/>
      <c r="Q10" s="740"/>
      <c r="R10" s="740"/>
      <c r="S10" s="740"/>
      <c r="T10" s="740"/>
      <c r="U10" s="728">
        <f>ROUND('Annex 2. 2024 Firm'!U10*90%,6)</f>
        <v>3.86E-4</v>
      </c>
      <c r="V10" s="728"/>
      <c r="W10" s="728"/>
      <c r="X10" s="728"/>
      <c r="Y10" s="728"/>
      <c r="Z10" s="739">
        <f>ROUND('Annex 2. 2024 Firm'!Z10*90%,2)</f>
        <v>21.13</v>
      </c>
      <c r="AA10" s="739"/>
      <c r="AB10" s="739">
        <f>ROUND('Annex 2. 2024 Firm'!AB10*90%,2)</f>
        <v>13.76</v>
      </c>
      <c r="AC10" s="739"/>
      <c r="AD10" s="739">
        <f>ROUND('Annex 2. 2024 Firm'!AD10*90%,2)</f>
        <v>26.9</v>
      </c>
      <c r="AE10" s="739"/>
      <c r="AF10" s="739"/>
      <c r="AG10" s="739">
        <f>ROUND('Annex 2. 2024 Firm'!AG10*90%,2)</f>
        <v>7.94</v>
      </c>
      <c r="AH10" s="739"/>
      <c r="AI10" s="740"/>
      <c r="AJ10" s="740"/>
      <c r="AK10" s="740"/>
      <c r="AL10" s="744">
        <f>ROUND('Annex 2. 2024 Firm'!AL10*90%,6)</f>
        <v>2.9500000000000001E-4</v>
      </c>
      <c r="AM10" s="745"/>
      <c r="AN10" s="745"/>
      <c r="AO10" s="745"/>
      <c r="AP10" s="745"/>
      <c r="AQ10" s="746"/>
    </row>
    <row r="11" spans="1:43" x14ac:dyDescent="0.25">
      <c r="A11" s="720" t="s">
        <v>190</v>
      </c>
      <c r="B11" s="720"/>
      <c r="C11" s="740">
        <f>ROUND('Annex 2. 2024 Firm'!C11*90%,2)</f>
        <v>35.53</v>
      </c>
      <c r="D11" s="740"/>
      <c r="E11" s="740"/>
      <c r="F11" s="740">
        <f>ROUND('Annex 2. 2024 Firm'!F11*90%,2)</f>
        <v>8.9499999999999993</v>
      </c>
      <c r="G11" s="740"/>
      <c r="H11" s="740"/>
      <c r="I11" s="740">
        <f>ROUND('Annex 2. 2024 Firm'!I11*90%,2)</f>
        <v>35.53</v>
      </c>
      <c r="J11" s="740"/>
      <c r="K11" s="740"/>
      <c r="L11" s="740">
        <f>ROUND('Annex 2. 2024 Firm'!L11*90%,2)</f>
        <v>35.53</v>
      </c>
      <c r="M11" s="740"/>
      <c r="N11" s="740"/>
      <c r="O11" s="740">
        <f>ROUND('Annex 2. 2024 Firm'!O11*90%,2)</f>
        <v>35.53</v>
      </c>
      <c r="P11" s="740"/>
      <c r="Q11" s="740"/>
      <c r="R11" s="740"/>
      <c r="S11" s="740"/>
      <c r="T11" s="740"/>
      <c r="U11" s="728">
        <f>ROUND('Annex 2. 2024 Firm'!U11*90%,6)</f>
        <v>3.86E-4</v>
      </c>
      <c r="V11" s="728"/>
      <c r="W11" s="728"/>
      <c r="X11" s="728"/>
      <c r="Y11" s="728"/>
      <c r="Z11" s="739">
        <f>ROUND('Annex 2. 2024 Firm'!Z11*90%,2)</f>
        <v>14.96</v>
      </c>
      <c r="AA11" s="739"/>
      <c r="AB11" s="739">
        <f>ROUND('Annex 2. 2024 Firm'!AB11*90%,2)</f>
        <v>9.74</v>
      </c>
      <c r="AC11" s="739"/>
      <c r="AD11" s="739">
        <f>ROUND('Annex 2. 2024 Firm'!AD11*90%,2)</f>
        <v>27.19</v>
      </c>
      <c r="AE11" s="739"/>
      <c r="AF11" s="739"/>
      <c r="AG11" s="739">
        <f>ROUND('Annex 2. 2024 Firm'!AG11*90%,2)</f>
        <v>5.62</v>
      </c>
      <c r="AH11" s="739"/>
      <c r="AI11" s="740"/>
      <c r="AJ11" s="740"/>
      <c r="AK11" s="740"/>
      <c r="AL11" s="744">
        <f>ROUND('Annex 2. 2024 Firm'!AL11*90%,6)</f>
        <v>2.9500000000000001E-4</v>
      </c>
      <c r="AM11" s="745"/>
      <c r="AN11" s="745"/>
      <c r="AO11" s="745"/>
      <c r="AP11" s="745"/>
      <c r="AQ11" s="746"/>
    </row>
    <row r="12" spans="1:43" x14ac:dyDescent="0.25">
      <c r="A12" s="720" t="s">
        <v>191</v>
      </c>
      <c r="B12" s="720"/>
      <c r="C12" s="740">
        <f>ROUND('Annex 2. 2024 Firm'!C12*90%,2)</f>
        <v>35.53</v>
      </c>
      <c r="D12" s="740"/>
      <c r="E12" s="740"/>
      <c r="F12" s="740">
        <f>ROUND('Annex 2. 2024 Firm'!F12*90%,2)</f>
        <v>8.9499999999999993</v>
      </c>
      <c r="G12" s="740"/>
      <c r="H12" s="740"/>
      <c r="I12" s="740">
        <f>ROUND('Annex 2. 2024 Firm'!I12*90%,2)</f>
        <v>35.53</v>
      </c>
      <c r="J12" s="740"/>
      <c r="K12" s="740"/>
      <c r="L12" s="740">
        <f>ROUND('Annex 2. 2024 Firm'!L12*90%,2)</f>
        <v>35.53</v>
      </c>
      <c r="M12" s="740"/>
      <c r="N12" s="740"/>
      <c r="O12" s="740">
        <f>ROUND('Annex 2. 2024 Firm'!O12*90%,2)</f>
        <v>35.53</v>
      </c>
      <c r="P12" s="740"/>
      <c r="Q12" s="740"/>
      <c r="R12" s="740"/>
      <c r="S12" s="740"/>
      <c r="T12" s="740"/>
      <c r="U12" s="728">
        <f>ROUND('Annex 2. 2024 Firm'!U12*90%,6)</f>
        <v>3.86E-4</v>
      </c>
      <c r="V12" s="728"/>
      <c r="W12" s="728"/>
      <c r="X12" s="728"/>
      <c r="Y12" s="728"/>
      <c r="Z12" s="739">
        <f>ROUND('Annex 2. 2024 Firm'!Z12*90%,2)</f>
        <v>39.99</v>
      </c>
      <c r="AA12" s="739"/>
      <c r="AB12" s="739">
        <f>ROUND('Annex 2. 2024 Firm'!AB12*90%,2)</f>
        <v>26.04</v>
      </c>
      <c r="AC12" s="739"/>
      <c r="AD12" s="739">
        <f>ROUND('Annex 2. 2024 Firm'!AD12*90%,2)</f>
        <v>27.19</v>
      </c>
      <c r="AE12" s="739"/>
      <c r="AF12" s="739"/>
      <c r="AG12" s="739">
        <f>ROUND('Annex 2. 2024 Firm'!AG12*90%,2)</f>
        <v>15.02</v>
      </c>
      <c r="AH12" s="739"/>
      <c r="AI12" s="740"/>
      <c r="AJ12" s="740"/>
      <c r="AK12" s="740"/>
      <c r="AL12" s="744">
        <f>ROUND('Annex 2. 2024 Firm'!AL12*90%,6)</f>
        <v>2.9500000000000001E-4</v>
      </c>
      <c r="AM12" s="745"/>
      <c r="AN12" s="745"/>
      <c r="AO12" s="745"/>
      <c r="AP12" s="745"/>
      <c r="AQ12" s="746"/>
    </row>
    <row r="13" spans="1:43" ht="28.5" customHeight="1" x14ac:dyDescent="0.25">
      <c r="A13" s="748" t="s">
        <v>193</v>
      </c>
      <c r="B13" s="749"/>
      <c r="C13" s="749"/>
      <c r="D13" s="749"/>
      <c r="E13" s="749"/>
      <c r="F13" s="749"/>
      <c r="G13" s="749"/>
      <c r="H13" s="749"/>
      <c r="I13" s="749"/>
      <c r="J13" s="749"/>
      <c r="K13" s="749"/>
      <c r="L13" s="749"/>
      <c r="M13" s="749"/>
      <c r="N13" s="749"/>
      <c r="O13" s="749"/>
      <c r="P13" s="749"/>
      <c r="Q13" s="749"/>
      <c r="R13" s="749"/>
      <c r="S13" s="749"/>
      <c r="T13" s="749"/>
      <c r="U13" s="749"/>
      <c r="V13" s="749"/>
      <c r="W13" s="749"/>
      <c r="X13" s="749"/>
      <c r="Y13" s="749"/>
      <c r="Z13" s="749"/>
      <c r="AA13" s="749"/>
      <c r="AB13" s="749"/>
      <c r="AC13" s="749"/>
      <c r="AD13" s="749"/>
      <c r="AE13" s="749"/>
      <c r="AF13" s="749"/>
      <c r="AG13" s="749"/>
      <c r="AH13" s="749"/>
      <c r="AI13" s="749"/>
      <c r="AJ13" s="749"/>
      <c r="AK13" s="749"/>
      <c r="AL13" s="749"/>
      <c r="AM13" s="749"/>
      <c r="AN13" s="749"/>
      <c r="AO13" s="749"/>
      <c r="AP13" s="749"/>
      <c r="AQ13" s="750"/>
    </row>
    <row r="14" spans="1:43" ht="24.75" customHeight="1" x14ac:dyDescent="0.25">
      <c r="A14" s="752"/>
      <c r="B14" s="752"/>
      <c r="C14" s="175" t="s">
        <v>5</v>
      </c>
      <c r="D14" s="175" t="s">
        <v>52</v>
      </c>
      <c r="E14" s="175" t="s">
        <v>53</v>
      </c>
      <c r="F14" s="175" t="s">
        <v>5</v>
      </c>
      <c r="G14" s="175" t="s">
        <v>52</v>
      </c>
      <c r="H14" s="175" t="s">
        <v>53</v>
      </c>
      <c r="I14" s="175" t="s">
        <v>5</v>
      </c>
      <c r="J14" s="175" t="s">
        <v>52</v>
      </c>
      <c r="K14" s="175" t="s">
        <v>53</v>
      </c>
      <c r="L14" s="175" t="s">
        <v>5</v>
      </c>
      <c r="M14" s="175" t="s">
        <v>52</v>
      </c>
      <c r="N14" s="175" t="s">
        <v>53</v>
      </c>
      <c r="O14" s="175" t="s">
        <v>5</v>
      </c>
      <c r="P14" s="175" t="s">
        <v>52</v>
      </c>
      <c r="Q14" s="175" t="s">
        <v>53</v>
      </c>
      <c r="R14" s="175" t="s">
        <v>5</v>
      </c>
      <c r="S14" s="175" t="s">
        <v>52</v>
      </c>
      <c r="T14" s="175" t="s">
        <v>53</v>
      </c>
      <c r="U14" s="727" t="s">
        <v>194</v>
      </c>
      <c r="V14" s="727"/>
      <c r="W14" s="727"/>
      <c r="X14" s="727"/>
      <c r="Y14" s="727"/>
      <c r="Z14" s="175" t="s">
        <v>5</v>
      </c>
      <c r="AA14" s="175" t="s">
        <v>54</v>
      </c>
      <c r="AB14" s="175" t="s">
        <v>5</v>
      </c>
      <c r="AC14" s="175" t="s">
        <v>54</v>
      </c>
      <c r="AD14" s="175" t="s">
        <v>5</v>
      </c>
      <c r="AE14" s="175" t="s">
        <v>52</v>
      </c>
      <c r="AF14" s="175" t="s">
        <v>53</v>
      </c>
      <c r="AG14" s="175" t="s">
        <v>5</v>
      </c>
      <c r="AH14" s="175" t="s">
        <v>54</v>
      </c>
      <c r="AI14" s="175" t="s">
        <v>5</v>
      </c>
      <c r="AJ14" s="175" t="s">
        <v>52</v>
      </c>
      <c r="AK14" s="175" t="s">
        <v>53</v>
      </c>
      <c r="AL14" s="727" t="s">
        <v>195</v>
      </c>
      <c r="AM14" s="727"/>
      <c r="AN14" s="727"/>
      <c r="AO14" s="727"/>
      <c r="AP14" s="727"/>
      <c r="AQ14" s="727"/>
    </row>
    <row r="15" spans="1:43" ht="15" customHeight="1" x14ac:dyDescent="0.25">
      <c r="A15" s="751" t="s">
        <v>196</v>
      </c>
      <c r="B15" s="751"/>
      <c r="C15" s="493">
        <f>ROUND('Annex 2. 2024 Firm'!C15*90%,2)</f>
        <v>13.61</v>
      </c>
      <c r="D15" s="493">
        <f>ROUND('Annex 2. 2024 Firm'!D15*90%,2)</f>
        <v>0.53</v>
      </c>
      <c r="E15" s="493">
        <f>ROUND('Annex 2. 2024 Firm'!E15*90%,2)</f>
        <v>0.59</v>
      </c>
      <c r="F15" s="493">
        <f>ROUND('Annex 2. 2024 Firm'!F15*90%,2)</f>
        <v>3.43</v>
      </c>
      <c r="G15" s="493">
        <f>ROUND('Annex 2. 2024 Firm'!G15*90%,2)</f>
        <v>0.14000000000000001</v>
      </c>
      <c r="H15" s="493">
        <f>ROUND('Annex 2. 2024 Firm'!H15*90%,2)</f>
        <v>0.15</v>
      </c>
      <c r="I15" s="493">
        <f>ROUND('Annex 2. 2024 Firm'!I15*90%,2)</f>
        <v>13.61</v>
      </c>
      <c r="J15" s="493">
        <f>ROUND('Annex 2. 2024 Firm'!J15*90%,2)</f>
        <v>0.53</v>
      </c>
      <c r="K15" s="493">
        <f>ROUND('Annex 2. 2024 Firm'!K15*90%,2)</f>
        <v>0.59</v>
      </c>
      <c r="L15" s="493">
        <f>ROUND('Annex 2. 2024 Firm'!L15*90%,2)</f>
        <v>13.61</v>
      </c>
      <c r="M15" s="493">
        <f>ROUND('Annex 2. 2024 Firm'!M15*90%,2)</f>
        <v>0.53</v>
      </c>
      <c r="N15" s="493">
        <f>ROUND('Annex 2. 2024 Firm'!N15*90%,2)</f>
        <v>0.59</v>
      </c>
      <c r="O15" s="493">
        <f>ROUND('Annex 2. 2024 Firm'!O15*90%,2)</f>
        <v>13.61</v>
      </c>
      <c r="P15" s="493">
        <f>ROUND('Annex 2. 2024 Firm'!P15*90%,2)</f>
        <v>0.53</v>
      </c>
      <c r="Q15" s="493">
        <f>ROUND('Annex 2. 2024 Firm'!Q15*90%,2)</f>
        <v>0.59</v>
      </c>
      <c r="R15" s="493"/>
      <c r="S15" s="493"/>
      <c r="T15" s="493"/>
      <c r="U15" s="726">
        <f>ROUND('Annex 2. 2024 Firm'!U15*90%,6)</f>
        <v>4.3899999999999999E-4</v>
      </c>
      <c r="V15" s="726"/>
      <c r="W15" s="726">
        <f>ROUND('Annex 2. 2024 Firm'!W15*90%,6)</f>
        <v>5.2700000000000002E-4</v>
      </c>
      <c r="X15" s="726"/>
      <c r="Y15" s="492">
        <f>ROUND('Annex 2. 2024 Firm'!Y15*90%,6)</f>
        <v>5.9699999999999998E-4</v>
      </c>
      <c r="Z15" s="493">
        <f>ROUND('Annex 2. 2024 Firm'!Z15*90%,2)</f>
        <v>21.35</v>
      </c>
      <c r="AA15" s="493">
        <f>ROUND('Annex 2. 2024 Firm'!AA15*90%,2)</f>
        <v>1.38</v>
      </c>
      <c r="AB15" s="493">
        <f>ROUND('Annex 2. 2024 Firm'!AB15*90%,2)</f>
        <v>13.91</v>
      </c>
      <c r="AC15" s="493">
        <f>ROUND('Annex 2. 2024 Firm'!AC15*90%,2)</f>
        <v>0.9</v>
      </c>
      <c r="AD15" s="493">
        <f>ROUND('Annex 2. 2024 Firm'!AD15*90%,2)</f>
        <v>10.41</v>
      </c>
      <c r="AE15" s="493">
        <f>ROUND('Annex 2. 2024 Firm'!AE15*90%,2)</f>
        <v>0.41</v>
      </c>
      <c r="AF15" s="493">
        <f>ROUND('Annex 2. 2024 Firm'!AF15*90%,2)</f>
        <v>0.46</v>
      </c>
      <c r="AG15" s="493">
        <f>ROUND('Annex 2. 2024 Firm'!AG15*90%,2)</f>
        <v>8.02</v>
      </c>
      <c r="AH15" s="493">
        <f>ROUND('Annex 2. 2024 Firm'!AH15*90%,2)</f>
        <v>0.52</v>
      </c>
      <c r="AI15" s="493"/>
      <c r="AJ15" s="493"/>
      <c r="AK15" s="493"/>
      <c r="AL15" s="726">
        <f>ROUND('Annex 2. 2024 Firm'!AL15*90%,6)</f>
        <v>3.3599999999999998E-4</v>
      </c>
      <c r="AM15" s="726"/>
      <c r="AN15" s="726">
        <f>ROUND('Annex 2. 2024 Firm'!AN15*90%,6)</f>
        <v>4.0299999999999998E-4</v>
      </c>
      <c r="AO15" s="726"/>
      <c r="AP15" s="726">
        <f>ROUND('Annex 2. 2024 Firm'!AP15*90%,6)</f>
        <v>4.57E-4</v>
      </c>
      <c r="AQ15" s="726"/>
    </row>
    <row r="16" spans="1:43" ht="15" customHeight="1" x14ac:dyDescent="0.25">
      <c r="A16" s="751" t="s">
        <v>197</v>
      </c>
      <c r="B16" s="751"/>
      <c r="C16" s="493">
        <f>ROUND('Annex 2. 2024 Firm'!C16*90%,2)</f>
        <v>12.73</v>
      </c>
      <c r="D16" s="493">
        <f>ROUND('Annex 2. 2024 Firm'!D16*90%,2)</f>
        <v>0.53</v>
      </c>
      <c r="E16" s="493">
        <f>ROUND('Annex 2. 2024 Firm'!E16*90%,2)</f>
        <v>0.59</v>
      </c>
      <c r="F16" s="493">
        <f>ROUND('Annex 2. 2024 Firm'!F16*90%,2)</f>
        <v>3.2</v>
      </c>
      <c r="G16" s="493">
        <f>ROUND('Annex 2. 2024 Firm'!G16*90%,2)</f>
        <v>0.14000000000000001</v>
      </c>
      <c r="H16" s="493">
        <f>ROUND('Annex 2. 2024 Firm'!H16*90%,2)</f>
        <v>0.15</v>
      </c>
      <c r="I16" s="493">
        <f>ROUND('Annex 2. 2024 Firm'!I16*90%,2)</f>
        <v>12.73</v>
      </c>
      <c r="J16" s="493">
        <f>ROUND('Annex 2. 2024 Firm'!J16*90%,2)</f>
        <v>0.53</v>
      </c>
      <c r="K16" s="493">
        <f>ROUND('Annex 2. 2024 Firm'!K16*90%,2)</f>
        <v>0.59</v>
      </c>
      <c r="L16" s="493">
        <f>ROUND('Annex 2. 2024 Firm'!L16*90%,2)</f>
        <v>12.73</v>
      </c>
      <c r="M16" s="493">
        <f>ROUND('Annex 2. 2024 Firm'!M16*90%,2)</f>
        <v>0.53</v>
      </c>
      <c r="N16" s="493">
        <f>ROUND('Annex 2. 2024 Firm'!N16*90%,2)</f>
        <v>0.59</v>
      </c>
      <c r="O16" s="493">
        <f>ROUND('Annex 2. 2024 Firm'!O16*90%,2)</f>
        <v>12.73</v>
      </c>
      <c r="P16" s="493">
        <f>ROUND('Annex 2. 2024 Firm'!P16*90%,2)</f>
        <v>0.53</v>
      </c>
      <c r="Q16" s="493">
        <f>ROUND('Annex 2. 2024 Firm'!Q16*90%,2)</f>
        <v>0.59</v>
      </c>
      <c r="R16" s="493"/>
      <c r="S16" s="493"/>
      <c r="T16" s="493"/>
      <c r="U16" s="726">
        <f>ROUND('Annex 2. 2024 Firm'!U16*90%,6)</f>
        <v>4.3899999999999999E-4</v>
      </c>
      <c r="V16" s="726"/>
      <c r="W16" s="726">
        <f>ROUND('Annex 2. 2024 Firm'!W16*90%,6)</f>
        <v>5.2700000000000002E-4</v>
      </c>
      <c r="X16" s="726"/>
      <c r="Y16" s="492">
        <f>ROUND('Annex 2. 2024 Firm'!Y16*90%,6)</f>
        <v>5.9699999999999998E-4</v>
      </c>
      <c r="Z16" s="493">
        <f>ROUND('Annex 2. 2024 Firm'!Z16*90%,2)</f>
        <v>15.71</v>
      </c>
      <c r="AA16" s="493">
        <f>ROUND('Annex 2. 2024 Firm'!AA16*90%,2)</f>
        <v>1.08</v>
      </c>
      <c r="AB16" s="493">
        <f>ROUND('Annex 2. 2024 Firm'!AB16*90%,2)</f>
        <v>10.220000000000001</v>
      </c>
      <c r="AC16" s="493">
        <f>ROUND('Annex 2. 2024 Firm'!AC16*90%,2)</f>
        <v>0.7</v>
      </c>
      <c r="AD16" s="493">
        <f>ROUND('Annex 2. 2024 Firm'!AD16*90%,2)</f>
        <v>9.74</v>
      </c>
      <c r="AE16" s="493">
        <f>ROUND('Annex 2. 2024 Firm'!AE16*90%,2)</f>
        <v>0.41</v>
      </c>
      <c r="AF16" s="493">
        <f>ROUND('Annex 2. 2024 Firm'!AF16*90%,2)</f>
        <v>0.46</v>
      </c>
      <c r="AG16" s="493">
        <f>ROUND('Annex 2. 2024 Firm'!AG16*90%,2)</f>
        <v>5.9</v>
      </c>
      <c r="AH16" s="493">
        <f>ROUND('Annex 2. 2024 Firm'!AH16*90%,2)</f>
        <v>0.41</v>
      </c>
      <c r="AI16" s="493"/>
      <c r="AJ16" s="493"/>
      <c r="AK16" s="493"/>
      <c r="AL16" s="726">
        <f>ROUND('Annex 2. 2024 Firm'!AL16*90%,6)</f>
        <v>3.3599999999999998E-4</v>
      </c>
      <c r="AM16" s="726"/>
      <c r="AN16" s="726">
        <f>ROUND('Annex 2. 2024 Firm'!AN16*90%,6)</f>
        <v>4.0299999999999998E-4</v>
      </c>
      <c r="AO16" s="726"/>
      <c r="AP16" s="726">
        <f>ROUND('Annex 2. 2024 Firm'!AP16*90%,6)</f>
        <v>4.57E-4</v>
      </c>
      <c r="AQ16" s="726"/>
    </row>
    <row r="17" spans="1:43" ht="15" customHeight="1" x14ac:dyDescent="0.25">
      <c r="A17" s="751" t="s">
        <v>198</v>
      </c>
      <c r="B17" s="751"/>
      <c r="C17" s="493">
        <f>ROUND('Annex 2. 2024 Firm'!C17*90%,2)</f>
        <v>13.61</v>
      </c>
      <c r="D17" s="493">
        <f>ROUND('Annex 2. 2024 Firm'!D17*90%,2)</f>
        <v>0.53</v>
      </c>
      <c r="E17" s="493">
        <f>ROUND('Annex 2. 2024 Firm'!E17*90%,2)</f>
        <v>0.59</v>
      </c>
      <c r="F17" s="493">
        <f>ROUND('Annex 2. 2024 Firm'!F17*90%,2)</f>
        <v>3.43</v>
      </c>
      <c r="G17" s="493">
        <f>ROUND('Annex 2. 2024 Firm'!G17*90%,2)</f>
        <v>0.14000000000000001</v>
      </c>
      <c r="H17" s="493">
        <f>ROUND('Annex 2. 2024 Firm'!H17*90%,2)</f>
        <v>0.15</v>
      </c>
      <c r="I17" s="493">
        <f>ROUND('Annex 2. 2024 Firm'!I17*90%,2)</f>
        <v>13.61</v>
      </c>
      <c r="J17" s="493">
        <f>ROUND('Annex 2. 2024 Firm'!J17*90%,2)</f>
        <v>0.53</v>
      </c>
      <c r="K17" s="493">
        <f>ROUND('Annex 2. 2024 Firm'!K17*90%,2)</f>
        <v>0.59</v>
      </c>
      <c r="L17" s="493">
        <f>ROUND('Annex 2. 2024 Firm'!L17*90%,2)</f>
        <v>13.61</v>
      </c>
      <c r="M17" s="493">
        <f>ROUND('Annex 2. 2024 Firm'!M17*90%,2)</f>
        <v>0.53</v>
      </c>
      <c r="N17" s="493">
        <f>ROUND('Annex 2. 2024 Firm'!N17*90%,2)</f>
        <v>0.59</v>
      </c>
      <c r="O17" s="493">
        <f>ROUND('Annex 2. 2024 Firm'!O17*90%,2)</f>
        <v>13.61</v>
      </c>
      <c r="P17" s="493">
        <f>ROUND('Annex 2. 2024 Firm'!P17*90%,2)</f>
        <v>0.53</v>
      </c>
      <c r="Q17" s="493">
        <f>ROUND('Annex 2. 2024 Firm'!Q17*90%,2)</f>
        <v>0.59</v>
      </c>
      <c r="R17" s="493"/>
      <c r="S17" s="493"/>
      <c r="T17" s="493"/>
      <c r="U17" s="726">
        <f>ROUND('Annex 2. 2024 Firm'!U17*90%,6)</f>
        <v>4.3899999999999999E-4</v>
      </c>
      <c r="V17" s="726"/>
      <c r="W17" s="726">
        <f>ROUND('Annex 2. 2024 Firm'!W17*90%,6)</f>
        <v>5.2700000000000002E-4</v>
      </c>
      <c r="X17" s="726"/>
      <c r="Y17" s="492">
        <f>ROUND('Annex 2. 2024 Firm'!Y17*90%,6)</f>
        <v>5.9699999999999998E-4</v>
      </c>
      <c r="Z17" s="493">
        <f>ROUND('Annex 2. 2024 Firm'!Z17*90%,2)</f>
        <v>17.149999999999999</v>
      </c>
      <c r="AA17" s="493">
        <f>ROUND('Annex 2. 2024 Firm'!AA17*90%,2)</f>
        <v>1.1100000000000001</v>
      </c>
      <c r="AB17" s="493">
        <f>ROUND('Annex 2. 2024 Firm'!AB17*90%,2)</f>
        <v>11.17</v>
      </c>
      <c r="AC17" s="493">
        <f>ROUND('Annex 2. 2024 Firm'!AC17*90%,2)</f>
        <v>0.72</v>
      </c>
      <c r="AD17" s="493">
        <f>ROUND('Annex 2. 2024 Firm'!AD17*90%,2)</f>
        <v>10.41</v>
      </c>
      <c r="AE17" s="493">
        <f>ROUND('Annex 2. 2024 Firm'!AE17*90%,2)</f>
        <v>0.41</v>
      </c>
      <c r="AF17" s="493">
        <f>ROUND('Annex 2. 2024 Firm'!AF17*90%,2)</f>
        <v>0.46</v>
      </c>
      <c r="AG17" s="493">
        <f>ROUND('Annex 2. 2024 Firm'!AG17*90%,2)</f>
        <v>6.44</v>
      </c>
      <c r="AH17" s="493">
        <f>ROUND('Annex 2. 2024 Firm'!AH17*90%,2)</f>
        <v>0.41</v>
      </c>
      <c r="AI17" s="493"/>
      <c r="AJ17" s="493"/>
      <c r="AK17" s="493"/>
      <c r="AL17" s="726">
        <f>ROUND('Annex 2. 2024 Firm'!AL17*90%,6)</f>
        <v>3.3599999999999998E-4</v>
      </c>
      <c r="AM17" s="726"/>
      <c r="AN17" s="726">
        <f>ROUND('Annex 2. 2024 Firm'!AN17*90%,6)</f>
        <v>4.0299999999999998E-4</v>
      </c>
      <c r="AO17" s="726"/>
      <c r="AP17" s="726">
        <f>ROUND('Annex 2. 2024 Firm'!AP17*90%,6)</f>
        <v>4.57E-4</v>
      </c>
      <c r="AQ17" s="726"/>
    </row>
    <row r="18" spans="1:43" ht="15" customHeight="1" x14ac:dyDescent="0.25">
      <c r="A18" s="751" t="s">
        <v>199</v>
      </c>
      <c r="B18" s="751"/>
      <c r="C18" s="493">
        <f>ROUND('Annex 2. 2024 Firm'!C18*90%,2)</f>
        <v>13.17</v>
      </c>
      <c r="D18" s="493">
        <f>ROUND('Annex 2. 2024 Firm'!D18*90%,2)</f>
        <v>0.53</v>
      </c>
      <c r="E18" s="493">
        <f>ROUND('Annex 2. 2024 Firm'!E18*90%,2)</f>
        <v>0.59</v>
      </c>
      <c r="F18" s="493">
        <f>ROUND('Annex 2. 2024 Firm'!F18*90%,2)</f>
        <v>3.31</v>
      </c>
      <c r="G18" s="493">
        <f>ROUND('Annex 2. 2024 Firm'!G18*90%,2)</f>
        <v>0.14000000000000001</v>
      </c>
      <c r="H18" s="493">
        <f>ROUND('Annex 2. 2024 Firm'!H18*90%,2)</f>
        <v>0.15</v>
      </c>
      <c r="I18" s="493">
        <f>ROUND('Annex 2. 2024 Firm'!I18*90%,2)</f>
        <v>13.17</v>
      </c>
      <c r="J18" s="493">
        <f>ROUND('Annex 2. 2024 Firm'!J18*90%,2)</f>
        <v>0.53</v>
      </c>
      <c r="K18" s="493">
        <f>ROUND('Annex 2. 2024 Firm'!K18*90%,2)</f>
        <v>0.59</v>
      </c>
      <c r="L18" s="493">
        <f>ROUND('Annex 2. 2024 Firm'!L18*90%,2)</f>
        <v>13.17</v>
      </c>
      <c r="M18" s="493">
        <f>ROUND('Annex 2. 2024 Firm'!M18*90%,2)</f>
        <v>0.53</v>
      </c>
      <c r="N18" s="493">
        <f>ROUND('Annex 2. 2024 Firm'!N18*90%,2)</f>
        <v>0.59</v>
      </c>
      <c r="O18" s="493">
        <f>ROUND('Annex 2. 2024 Firm'!O18*90%,2)</f>
        <v>13.17</v>
      </c>
      <c r="P18" s="493">
        <f>ROUND('Annex 2. 2024 Firm'!P18*90%,2)</f>
        <v>0.53</v>
      </c>
      <c r="Q18" s="493">
        <f>ROUND('Annex 2. 2024 Firm'!Q18*90%,2)</f>
        <v>0.59</v>
      </c>
      <c r="R18" s="493"/>
      <c r="S18" s="493"/>
      <c r="T18" s="493"/>
      <c r="U18" s="726">
        <f>ROUND('Annex 2. 2024 Firm'!U18*90%,6)</f>
        <v>4.3899999999999999E-4</v>
      </c>
      <c r="V18" s="726"/>
      <c r="W18" s="726">
        <f>ROUND('Annex 2. 2024 Firm'!W18*90%,6)</f>
        <v>5.2700000000000002E-4</v>
      </c>
      <c r="X18" s="726"/>
      <c r="Y18" s="492">
        <f>ROUND('Annex 2. 2024 Firm'!Y18*90%,6)</f>
        <v>5.9699999999999998E-4</v>
      </c>
      <c r="Z18" s="493">
        <f>ROUND('Annex 2. 2024 Firm'!Z18*90%,2)</f>
        <v>10.63</v>
      </c>
      <c r="AA18" s="493">
        <f>ROUND('Annex 2. 2024 Firm'!AA18*90%,2)</f>
        <v>0.71</v>
      </c>
      <c r="AB18" s="493">
        <f>ROUND('Annex 2. 2024 Firm'!AB18*90%,2)</f>
        <v>6.92</v>
      </c>
      <c r="AC18" s="493">
        <f>ROUND('Annex 2. 2024 Firm'!AC18*90%,2)</f>
        <v>0.46</v>
      </c>
      <c r="AD18" s="493">
        <f>ROUND('Annex 2. 2024 Firm'!AD18*90%,2)</f>
        <v>10.08</v>
      </c>
      <c r="AE18" s="493">
        <f>ROUND('Annex 2. 2024 Firm'!AE18*90%,2)</f>
        <v>0.41</v>
      </c>
      <c r="AF18" s="493">
        <f>ROUND('Annex 2. 2024 Firm'!AF18*90%,2)</f>
        <v>0.46</v>
      </c>
      <c r="AG18" s="493">
        <f>ROUND('Annex 2. 2024 Firm'!AG18*90%,2)</f>
        <v>4</v>
      </c>
      <c r="AH18" s="493">
        <f>ROUND('Annex 2. 2024 Firm'!AH18*90%,2)</f>
        <v>0.27</v>
      </c>
      <c r="AI18" s="493"/>
      <c r="AJ18" s="493"/>
      <c r="AK18" s="493"/>
      <c r="AL18" s="726">
        <f>ROUND('Annex 2. 2024 Firm'!AL18*90%,6)</f>
        <v>3.3599999999999998E-4</v>
      </c>
      <c r="AM18" s="726"/>
      <c r="AN18" s="726">
        <f>ROUND('Annex 2. 2024 Firm'!AN18*90%,6)</f>
        <v>4.0299999999999998E-4</v>
      </c>
      <c r="AO18" s="726"/>
      <c r="AP18" s="726">
        <f>ROUND('Annex 2. 2024 Firm'!AP18*90%,6)</f>
        <v>4.57E-4</v>
      </c>
      <c r="AQ18" s="726"/>
    </row>
    <row r="19" spans="1:43" ht="15" customHeight="1" x14ac:dyDescent="0.25">
      <c r="A19" s="751" t="s">
        <v>200</v>
      </c>
      <c r="B19" s="751"/>
      <c r="C19" s="493">
        <f>ROUND('Annex 2. 2024 Firm'!C19*90%,2)</f>
        <v>13.61</v>
      </c>
      <c r="D19" s="493">
        <f>ROUND('Annex 2. 2024 Firm'!D19*90%,2)</f>
        <v>0.53</v>
      </c>
      <c r="E19" s="493">
        <f>ROUND('Annex 2. 2024 Firm'!E19*90%,2)</f>
        <v>0.59</v>
      </c>
      <c r="F19" s="493">
        <f>ROUND('Annex 2. 2024 Firm'!F19*90%,2)</f>
        <v>3.43</v>
      </c>
      <c r="G19" s="493">
        <f>ROUND('Annex 2. 2024 Firm'!G19*90%,2)</f>
        <v>0.14000000000000001</v>
      </c>
      <c r="H19" s="493">
        <f>ROUND('Annex 2. 2024 Firm'!H19*90%,2)</f>
        <v>0.15</v>
      </c>
      <c r="I19" s="493">
        <f>ROUND('Annex 2. 2024 Firm'!I19*90%,2)</f>
        <v>13.61</v>
      </c>
      <c r="J19" s="493">
        <f>ROUND('Annex 2. 2024 Firm'!J19*90%,2)</f>
        <v>0.53</v>
      </c>
      <c r="K19" s="493">
        <f>ROUND('Annex 2. 2024 Firm'!K19*90%,2)</f>
        <v>0.59</v>
      </c>
      <c r="L19" s="493">
        <f>ROUND('Annex 2. 2024 Firm'!L19*90%,2)</f>
        <v>13.61</v>
      </c>
      <c r="M19" s="493">
        <f>ROUND('Annex 2. 2024 Firm'!M19*90%,2)</f>
        <v>0.53</v>
      </c>
      <c r="N19" s="493">
        <f>ROUND('Annex 2. 2024 Firm'!N19*90%,2)</f>
        <v>0.59</v>
      </c>
      <c r="O19" s="493">
        <f>ROUND('Annex 2. 2024 Firm'!O19*90%,2)</f>
        <v>13.61</v>
      </c>
      <c r="P19" s="493">
        <f>ROUND('Annex 2. 2024 Firm'!P19*90%,2)</f>
        <v>0.53</v>
      </c>
      <c r="Q19" s="493">
        <f>ROUND('Annex 2. 2024 Firm'!Q19*90%,2)</f>
        <v>0.59</v>
      </c>
      <c r="R19" s="493"/>
      <c r="S19" s="493"/>
      <c r="T19" s="493"/>
      <c r="U19" s="726">
        <f>ROUND('Annex 2. 2024 Firm'!U19*90%,6)</f>
        <v>4.3899999999999999E-4</v>
      </c>
      <c r="V19" s="726"/>
      <c r="W19" s="726">
        <f>ROUND('Annex 2. 2024 Firm'!W19*90%,6)</f>
        <v>5.2700000000000002E-4</v>
      </c>
      <c r="X19" s="726"/>
      <c r="Y19" s="492">
        <f>ROUND('Annex 2. 2024 Firm'!Y19*90%,6)</f>
        <v>5.9699999999999998E-4</v>
      </c>
      <c r="Z19" s="493">
        <f>ROUND('Annex 2. 2024 Firm'!Z19*90%,2)</f>
        <v>8.64</v>
      </c>
      <c r="AA19" s="493">
        <f>ROUND('Annex 2. 2024 Firm'!AA19*90%,2)</f>
        <v>0.56000000000000005</v>
      </c>
      <c r="AB19" s="493">
        <f>ROUND('Annex 2. 2024 Firm'!AB19*90%,2)</f>
        <v>5.63</v>
      </c>
      <c r="AC19" s="493">
        <f>ROUND('Annex 2. 2024 Firm'!AC19*90%,2)</f>
        <v>0.36</v>
      </c>
      <c r="AD19" s="493">
        <f>ROUND('Annex 2. 2024 Firm'!AD19*90%,2)</f>
        <v>10.41</v>
      </c>
      <c r="AE19" s="493">
        <f>ROUND('Annex 2. 2024 Firm'!AE19*90%,2)</f>
        <v>0.41</v>
      </c>
      <c r="AF19" s="493">
        <f>ROUND('Annex 2. 2024 Firm'!AF19*90%,2)</f>
        <v>0.46</v>
      </c>
      <c r="AG19" s="493">
        <f>ROUND('Annex 2. 2024 Firm'!AG19*90%,2)</f>
        <v>3.25</v>
      </c>
      <c r="AH19" s="493">
        <f>ROUND('Annex 2. 2024 Firm'!AH19*90%,2)</f>
        <v>0.21</v>
      </c>
      <c r="AI19" s="493"/>
      <c r="AJ19" s="493"/>
      <c r="AK19" s="493"/>
      <c r="AL19" s="726">
        <f>ROUND('Annex 2. 2024 Firm'!AL19*90%,6)</f>
        <v>3.3599999999999998E-4</v>
      </c>
      <c r="AM19" s="726"/>
      <c r="AN19" s="726">
        <f>ROUND('Annex 2. 2024 Firm'!AN19*90%,6)</f>
        <v>4.0299999999999998E-4</v>
      </c>
      <c r="AO19" s="726"/>
      <c r="AP19" s="726">
        <f>ROUND('Annex 2. 2024 Firm'!AP19*90%,6)</f>
        <v>4.57E-4</v>
      </c>
      <c r="AQ19" s="726"/>
    </row>
    <row r="20" spans="1:43" ht="15" customHeight="1" x14ac:dyDescent="0.25">
      <c r="A20" s="751" t="s">
        <v>201</v>
      </c>
      <c r="B20" s="751"/>
      <c r="C20" s="493">
        <f>ROUND('Annex 2. 2024 Firm'!C20*90%,2)</f>
        <v>13.17</v>
      </c>
      <c r="D20" s="493">
        <f>ROUND('Annex 2. 2024 Firm'!D20*90%,2)</f>
        <v>0.53</v>
      </c>
      <c r="E20" s="493">
        <f>ROUND('Annex 2. 2024 Firm'!E20*90%,2)</f>
        <v>0.59</v>
      </c>
      <c r="F20" s="493">
        <f>ROUND('Annex 2. 2024 Firm'!F20*90%,2)</f>
        <v>3.31</v>
      </c>
      <c r="G20" s="493">
        <f>ROUND('Annex 2. 2024 Firm'!G20*90%,2)</f>
        <v>0.14000000000000001</v>
      </c>
      <c r="H20" s="493">
        <f>ROUND('Annex 2. 2024 Firm'!H20*90%,2)</f>
        <v>0.15</v>
      </c>
      <c r="I20" s="493">
        <f>ROUND('Annex 2. 2024 Firm'!I20*90%,2)</f>
        <v>13.17</v>
      </c>
      <c r="J20" s="493">
        <f>ROUND('Annex 2. 2024 Firm'!J20*90%,2)</f>
        <v>0.53</v>
      </c>
      <c r="K20" s="493">
        <f>ROUND('Annex 2. 2024 Firm'!K20*90%,2)</f>
        <v>0.59</v>
      </c>
      <c r="L20" s="493">
        <f>ROUND('Annex 2. 2024 Firm'!L20*90%,2)</f>
        <v>13.17</v>
      </c>
      <c r="M20" s="493">
        <f>ROUND('Annex 2. 2024 Firm'!M20*90%,2)</f>
        <v>0.53</v>
      </c>
      <c r="N20" s="493">
        <f>ROUND('Annex 2. 2024 Firm'!N20*90%,2)</f>
        <v>0.59</v>
      </c>
      <c r="O20" s="493">
        <f>ROUND('Annex 2. 2024 Firm'!O20*90%,2)</f>
        <v>13.17</v>
      </c>
      <c r="P20" s="493">
        <f>ROUND('Annex 2. 2024 Firm'!P20*90%,2)</f>
        <v>0.53</v>
      </c>
      <c r="Q20" s="493">
        <f>ROUND('Annex 2. 2024 Firm'!Q20*90%,2)</f>
        <v>0.59</v>
      </c>
      <c r="R20" s="493"/>
      <c r="S20" s="493"/>
      <c r="T20" s="493"/>
      <c r="U20" s="726">
        <f>ROUND('Annex 2. 2024 Firm'!U20*90%,6)</f>
        <v>4.3899999999999999E-4</v>
      </c>
      <c r="V20" s="726"/>
      <c r="W20" s="726">
        <f>ROUND('Annex 2. 2024 Firm'!W20*90%,6)</f>
        <v>5.2700000000000002E-4</v>
      </c>
      <c r="X20" s="726"/>
      <c r="Y20" s="492">
        <f>ROUND('Annex 2. 2024 Firm'!Y20*90%,6)</f>
        <v>5.9699999999999998E-4</v>
      </c>
      <c r="Z20" s="493">
        <f>ROUND('Annex 2. 2024 Firm'!Z20*90%,2)</f>
        <v>6.33</v>
      </c>
      <c r="AA20" s="493">
        <f>ROUND('Annex 2. 2024 Firm'!AA20*90%,2)</f>
        <v>0.42</v>
      </c>
      <c r="AB20" s="493">
        <f>ROUND('Annex 2. 2024 Firm'!AB20*90%,2)</f>
        <v>4.12</v>
      </c>
      <c r="AC20" s="493">
        <f>ROUND('Annex 2. 2024 Firm'!AC20*90%,2)</f>
        <v>0.28000000000000003</v>
      </c>
      <c r="AD20" s="493">
        <f>ROUND('Annex 2. 2024 Firm'!AD20*90%,2)</f>
        <v>10.08</v>
      </c>
      <c r="AE20" s="493">
        <f>ROUND('Annex 2. 2024 Firm'!AE20*90%,2)</f>
        <v>0.41</v>
      </c>
      <c r="AF20" s="493">
        <f>ROUND('Annex 2. 2024 Firm'!AF20*90%,2)</f>
        <v>0.46</v>
      </c>
      <c r="AG20" s="493">
        <f>ROUND('Annex 2. 2024 Firm'!AG20*90%,2)</f>
        <v>2.38</v>
      </c>
      <c r="AH20" s="493">
        <f>ROUND('Annex 2. 2024 Firm'!AH20*90%,2)</f>
        <v>0.16</v>
      </c>
      <c r="AI20" s="493"/>
      <c r="AJ20" s="493"/>
      <c r="AK20" s="493"/>
      <c r="AL20" s="726">
        <f>ROUND('Annex 2. 2024 Firm'!AL20*90%,6)</f>
        <v>3.3599999999999998E-4</v>
      </c>
      <c r="AM20" s="726"/>
      <c r="AN20" s="726">
        <f>ROUND('Annex 2. 2024 Firm'!AN20*90%,6)</f>
        <v>4.0299999999999998E-4</v>
      </c>
      <c r="AO20" s="726"/>
      <c r="AP20" s="726">
        <f>ROUND('Annex 2. 2024 Firm'!AP20*90%,6)</f>
        <v>4.57E-4</v>
      </c>
      <c r="AQ20" s="726"/>
    </row>
    <row r="21" spans="1:43" ht="15" customHeight="1" x14ac:dyDescent="0.25">
      <c r="A21" s="751" t="s">
        <v>202</v>
      </c>
      <c r="B21" s="751"/>
      <c r="C21" s="493">
        <f>ROUND('Annex 2. 2024 Firm'!C21*90%,2)</f>
        <v>13.61</v>
      </c>
      <c r="D21" s="493">
        <f>ROUND('Annex 2. 2024 Firm'!D21*90%,2)</f>
        <v>0.53</v>
      </c>
      <c r="E21" s="493">
        <f>ROUND('Annex 2. 2024 Firm'!E21*90%,2)</f>
        <v>0.59</v>
      </c>
      <c r="F21" s="493">
        <f>ROUND('Annex 2. 2024 Firm'!F21*90%,2)</f>
        <v>3.43</v>
      </c>
      <c r="G21" s="493">
        <f>ROUND('Annex 2. 2024 Firm'!G21*90%,2)</f>
        <v>0.14000000000000001</v>
      </c>
      <c r="H21" s="493">
        <f>ROUND('Annex 2. 2024 Firm'!H21*90%,2)</f>
        <v>0.15</v>
      </c>
      <c r="I21" s="493">
        <f>ROUND('Annex 2. 2024 Firm'!I21*90%,2)</f>
        <v>13.61</v>
      </c>
      <c r="J21" s="493">
        <f>ROUND('Annex 2. 2024 Firm'!J21*90%,2)</f>
        <v>0.53</v>
      </c>
      <c r="K21" s="493">
        <f>ROUND('Annex 2. 2024 Firm'!K21*90%,2)</f>
        <v>0.59</v>
      </c>
      <c r="L21" s="493">
        <f>ROUND('Annex 2. 2024 Firm'!L21*90%,2)</f>
        <v>13.61</v>
      </c>
      <c r="M21" s="493">
        <f>ROUND('Annex 2. 2024 Firm'!M21*90%,2)</f>
        <v>0.53</v>
      </c>
      <c r="N21" s="493">
        <f>ROUND('Annex 2. 2024 Firm'!N21*90%,2)</f>
        <v>0.59</v>
      </c>
      <c r="O21" s="493">
        <f>ROUND('Annex 2. 2024 Firm'!O21*90%,2)</f>
        <v>13.61</v>
      </c>
      <c r="P21" s="493">
        <f>ROUND('Annex 2. 2024 Firm'!P21*90%,2)</f>
        <v>0.53</v>
      </c>
      <c r="Q21" s="493">
        <f>ROUND('Annex 2. 2024 Firm'!Q21*90%,2)</f>
        <v>0.59</v>
      </c>
      <c r="R21" s="493"/>
      <c r="S21" s="493"/>
      <c r="T21" s="493"/>
      <c r="U21" s="726">
        <f>ROUND('Annex 2. 2024 Firm'!U21*90%,6)</f>
        <v>4.3899999999999999E-4</v>
      </c>
      <c r="V21" s="726"/>
      <c r="W21" s="726">
        <f>ROUND('Annex 2. 2024 Firm'!W21*90%,6)</f>
        <v>5.2700000000000002E-4</v>
      </c>
      <c r="X21" s="726"/>
      <c r="Y21" s="492">
        <f>ROUND('Annex 2. 2024 Firm'!Y21*90%,6)</f>
        <v>5.9699999999999998E-4</v>
      </c>
      <c r="Z21" s="493">
        <f>ROUND('Annex 2. 2024 Firm'!Z21*90%,2)</f>
        <v>5.31</v>
      </c>
      <c r="AA21" s="493">
        <f>ROUND('Annex 2. 2024 Firm'!AA21*90%,2)</f>
        <v>0.34</v>
      </c>
      <c r="AB21" s="493">
        <f>ROUND('Annex 2. 2024 Firm'!AB21*90%,2)</f>
        <v>3.46</v>
      </c>
      <c r="AC21" s="493">
        <f>ROUND('Annex 2. 2024 Firm'!AC21*90%,2)</f>
        <v>0.23</v>
      </c>
      <c r="AD21" s="493">
        <f>ROUND('Annex 2. 2024 Firm'!AD21*90%,2)</f>
        <v>10.41</v>
      </c>
      <c r="AE21" s="493">
        <f>ROUND('Annex 2. 2024 Firm'!AE21*90%,2)</f>
        <v>0.41</v>
      </c>
      <c r="AF21" s="493">
        <f>ROUND('Annex 2. 2024 Firm'!AF21*90%,2)</f>
        <v>0.46</v>
      </c>
      <c r="AG21" s="493">
        <f>ROUND('Annex 2. 2024 Firm'!AG21*90%,2)</f>
        <v>2</v>
      </c>
      <c r="AH21" s="493">
        <f>ROUND('Annex 2. 2024 Firm'!AH21*90%,2)</f>
        <v>0.13</v>
      </c>
      <c r="AI21" s="493"/>
      <c r="AJ21" s="493"/>
      <c r="AK21" s="493"/>
      <c r="AL21" s="726">
        <f>ROUND('Annex 2. 2024 Firm'!AL21*90%,6)</f>
        <v>3.3599999999999998E-4</v>
      </c>
      <c r="AM21" s="726"/>
      <c r="AN21" s="726">
        <f>ROUND('Annex 2. 2024 Firm'!AN21*90%,6)</f>
        <v>4.0299999999999998E-4</v>
      </c>
      <c r="AO21" s="726"/>
      <c r="AP21" s="726">
        <f>ROUND('Annex 2. 2024 Firm'!AP21*90%,6)</f>
        <v>4.57E-4</v>
      </c>
      <c r="AQ21" s="726"/>
    </row>
    <row r="22" spans="1:43" ht="15" customHeight="1" x14ac:dyDescent="0.25">
      <c r="A22" s="751" t="s">
        <v>203</v>
      </c>
      <c r="B22" s="751"/>
      <c r="C22" s="493">
        <f>ROUND('Annex 2. 2024 Firm'!C22*90%,2)</f>
        <v>13.61</v>
      </c>
      <c r="D22" s="493">
        <f>ROUND('Annex 2. 2024 Firm'!D22*90%,2)</f>
        <v>0.53</v>
      </c>
      <c r="E22" s="493">
        <f>ROUND('Annex 2. 2024 Firm'!E22*90%,2)</f>
        <v>0.59</v>
      </c>
      <c r="F22" s="493">
        <f>ROUND('Annex 2. 2024 Firm'!F22*90%,2)</f>
        <v>3.43</v>
      </c>
      <c r="G22" s="493">
        <f>ROUND('Annex 2. 2024 Firm'!G22*90%,2)</f>
        <v>0.14000000000000001</v>
      </c>
      <c r="H22" s="493">
        <f>ROUND('Annex 2. 2024 Firm'!H22*90%,2)</f>
        <v>0.15</v>
      </c>
      <c r="I22" s="493">
        <f>ROUND('Annex 2. 2024 Firm'!I22*90%,2)</f>
        <v>13.61</v>
      </c>
      <c r="J22" s="493">
        <f>ROUND('Annex 2. 2024 Firm'!J22*90%,2)</f>
        <v>0.53</v>
      </c>
      <c r="K22" s="493">
        <f>ROUND('Annex 2. 2024 Firm'!K22*90%,2)</f>
        <v>0.59</v>
      </c>
      <c r="L22" s="493">
        <f>ROUND('Annex 2. 2024 Firm'!L22*90%,2)</f>
        <v>13.61</v>
      </c>
      <c r="M22" s="493">
        <f>ROUND('Annex 2. 2024 Firm'!M22*90%,2)</f>
        <v>0.53</v>
      </c>
      <c r="N22" s="493">
        <f>ROUND('Annex 2. 2024 Firm'!N22*90%,2)</f>
        <v>0.59</v>
      </c>
      <c r="O22" s="493">
        <f>ROUND('Annex 2. 2024 Firm'!O22*90%,2)</f>
        <v>13.61</v>
      </c>
      <c r="P22" s="493">
        <f>ROUND('Annex 2. 2024 Firm'!P22*90%,2)</f>
        <v>0.53</v>
      </c>
      <c r="Q22" s="493">
        <f>ROUND('Annex 2. 2024 Firm'!Q22*90%,2)</f>
        <v>0.59</v>
      </c>
      <c r="R22" s="493"/>
      <c r="S22" s="493"/>
      <c r="T22" s="493"/>
      <c r="U22" s="726">
        <f>ROUND('Annex 2. 2024 Firm'!U22*90%,6)</f>
        <v>4.3899999999999999E-4</v>
      </c>
      <c r="V22" s="726"/>
      <c r="W22" s="726">
        <f>ROUND('Annex 2. 2024 Firm'!W22*90%,6)</f>
        <v>5.2700000000000002E-4</v>
      </c>
      <c r="X22" s="726"/>
      <c r="Y22" s="492">
        <f>ROUND('Annex 2. 2024 Firm'!Y22*90%,6)</f>
        <v>5.9699999999999998E-4</v>
      </c>
      <c r="Z22" s="493">
        <f>ROUND('Annex 2. 2024 Firm'!Z22*90%,2)</f>
        <v>5.92</v>
      </c>
      <c r="AA22" s="493">
        <f>ROUND('Annex 2. 2024 Firm'!AA22*90%,2)</f>
        <v>0.38</v>
      </c>
      <c r="AB22" s="493">
        <f>ROUND('Annex 2. 2024 Firm'!AB22*90%,2)</f>
        <v>3.86</v>
      </c>
      <c r="AC22" s="493">
        <f>ROUND('Annex 2. 2024 Firm'!AC22*90%,2)</f>
        <v>0.25</v>
      </c>
      <c r="AD22" s="493">
        <f>ROUND('Annex 2. 2024 Firm'!AD22*90%,2)</f>
        <v>10.41</v>
      </c>
      <c r="AE22" s="493">
        <f>ROUND('Annex 2. 2024 Firm'!AE22*90%,2)</f>
        <v>0.41</v>
      </c>
      <c r="AF22" s="493">
        <f>ROUND('Annex 2. 2024 Firm'!AF22*90%,2)</f>
        <v>0.46</v>
      </c>
      <c r="AG22" s="493">
        <f>ROUND('Annex 2. 2024 Firm'!AG22*90%,2)</f>
        <v>2.2200000000000002</v>
      </c>
      <c r="AH22" s="493">
        <f>ROUND('Annex 2. 2024 Firm'!AH22*90%,2)</f>
        <v>0.14000000000000001</v>
      </c>
      <c r="AI22" s="493"/>
      <c r="AJ22" s="493"/>
      <c r="AK22" s="493"/>
      <c r="AL22" s="726">
        <f>ROUND('Annex 2. 2024 Firm'!AL22*90%,6)</f>
        <v>3.3599999999999998E-4</v>
      </c>
      <c r="AM22" s="726"/>
      <c r="AN22" s="726">
        <f>ROUND('Annex 2. 2024 Firm'!AN22*90%,6)</f>
        <v>4.0299999999999998E-4</v>
      </c>
      <c r="AO22" s="726"/>
      <c r="AP22" s="726">
        <f>ROUND('Annex 2. 2024 Firm'!AP22*90%,6)</f>
        <v>4.57E-4</v>
      </c>
      <c r="AQ22" s="726"/>
    </row>
    <row r="23" spans="1:43" ht="15" customHeight="1" x14ac:dyDescent="0.25">
      <c r="A23" s="751" t="s">
        <v>204</v>
      </c>
      <c r="B23" s="751"/>
      <c r="C23" s="493">
        <f>ROUND('Annex 2. 2024 Firm'!C23*90%,2)</f>
        <v>13.17</v>
      </c>
      <c r="D23" s="493">
        <f>ROUND('Annex 2. 2024 Firm'!D23*90%,2)</f>
        <v>0.53</v>
      </c>
      <c r="E23" s="493">
        <f>ROUND('Annex 2. 2024 Firm'!E23*90%,2)</f>
        <v>0.59</v>
      </c>
      <c r="F23" s="493">
        <f>ROUND('Annex 2. 2024 Firm'!F23*90%,2)</f>
        <v>3.31</v>
      </c>
      <c r="G23" s="493">
        <f>ROUND('Annex 2. 2024 Firm'!G23*90%,2)</f>
        <v>0.14000000000000001</v>
      </c>
      <c r="H23" s="493">
        <f>ROUND('Annex 2. 2024 Firm'!H23*90%,2)</f>
        <v>0.15</v>
      </c>
      <c r="I23" s="493">
        <f>ROUND('Annex 2. 2024 Firm'!I23*90%,2)</f>
        <v>13.17</v>
      </c>
      <c r="J23" s="493">
        <f>ROUND('Annex 2. 2024 Firm'!J23*90%,2)</f>
        <v>0.53</v>
      </c>
      <c r="K23" s="493">
        <f>ROUND('Annex 2. 2024 Firm'!K23*90%,2)</f>
        <v>0.59</v>
      </c>
      <c r="L23" s="493">
        <f>ROUND('Annex 2. 2024 Firm'!L23*90%,2)</f>
        <v>13.17</v>
      </c>
      <c r="M23" s="493">
        <f>ROUND('Annex 2. 2024 Firm'!M23*90%,2)</f>
        <v>0.53</v>
      </c>
      <c r="N23" s="493">
        <f>ROUND('Annex 2. 2024 Firm'!N23*90%,2)</f>
        <v>0.59</v>
      </c>
      <c r="O23" s="493">
        <f>ROUND('Annex 2. 2024 Firm'!O23*90%,2)</f>
        <v>13.17</v>
      </c>
      <c r="P23" s="493">
        <f>ROUND('Annex 2. 2024 Firm'!P23*90%,2)</f>
        <v>0.53</v>
      </c>
      <c r="Q23" s="493">
        <f>ROUND('Annex 2. 2024 Firm'!Q23*90%,2)</f>
        <v>0.59</v>
      </c>
      <c r="R23" s="493"/>
      <c r="S23" s="493"/>
      <c r="T23" s="493"/>
      <c r="U23" s="726">
        <f>ROUND('Annex 2. 2024 Firm'!U23*90%,6)</f>
        <v>4.3899999999999999E-4</v>
      </c>
      <c r="V23" s="726"/>
      <c r="W23" s="726">
        <f>ROUND('Annex 2. 2024 Firm'!W23*90%,6)</f>
        <v>5.2700000000000002E-4</v>
      </c>
      <c r="X23" s="726"/>
      <c r="Y23" s="492">
        <f>ROUND('Annex 2. 2024 Firm'!Y23*90%,6)</f>
        <v>5.9699999999999998E-4</v>
      </c>
      <c r="Z23" s="493">
        <f>ROUND('Annex 2. 2024 Firm'!Z23*90%,2)</f>
        <v>6.69</v>
      </c>
      <c r="AA23" s="493">
        <f>ROUND('Annex 2. 2024 Firm'!AA23*90%,2)</f>
        <v>0.45</v>
      </c>
      <c r="AB23" s="493">
        <f>ROUND('Annex 2. 2024 Firm'!AB23*90%,2)</f>
        <v>4.3600000000000003</v>
      </c>
      <c r="AC23" s="493">
        <f>ROUND('Annex 2. 2024 Firm'!AC23*90%,2)</f>
        <v>0.28999999999999998</v>
      </c>
      <c r="AD23" s="493">
        <f>ROUND('Annex 2. 2024 Firm'!AD23*90%,2)</f>
        <v>10.08</v>
      </c>
      <c r="AE23" s="493">
        <f>ROUND('Annex 2. 2024 Firm'!AE23*90%,2)</f>
        <v>0.41</v>
      </c>
      <c r="AF23" s="493">
        <f>ROUND('Annex 2. 2024 Firm'!AF23*90%,2)</f>
        <v>0.46</v>
      </c>
      <c r="AG23" s="493">
        <f>ROUND('Annex 2. 2024 Firm'!AG23*90%,2)</f>
        <v>2.5099999999999998</v>
      </c>
      <c r="AH23" s="493">
        <f>ROUND('Annex 2. 2024 Firm'!AH23*90%,2)</f>
        <v>0.17</v>
      </c>
      <c r="AI23" s="493"/>
      <c r="AJ23" s="493"/>
      <c r="AK23" s="493"/>
      <c r="AL23" s="726">
        <f>ROUND('Annex 2. 2024 Firm'!AL23*90%,6)</f>
        <v>3.3599999999999998E-4</v>
      </c>
      <c r="AM23" s="726"/>
      <c r="AN23" s="726">
        <f>ROUND('Annex 2. 2024 Firm'!AN23*90%,6)</f>
        <v>4.0299999999999998E-4</v>
      </c>
      <c r="AO23" s="726"/>
      <c r="AP23" s="726">
        <f>ROUND('Annex 2. 2024 Firm'!AP23*90%,6)</f>
        <v>4.57E-4</v>
      </c>
      <c r="AQ23" s="726"/>
    </row>
    <row r="24" spans="1:43" ht="15" customHeight="1" x14ac:dyDescent="0.25">
      <c r="A24" s="751" t="s">
        <v>205</v>
      </c>
      <c r="B24" s="751"/>
      <c r="C24" s="493">
        <f>ROUND('Annex 2. 2024 Firm'!C24*90%,2)</f>
        <v>13.61</v>
      </c>
      <c r="D24" s="493">
        <f>ROUND('Annex 2. 2024 Firm'!D24*90%,2)</f>
        <v>0.53</v>
      </c>
      <c r="E24" s="493">
        <f>ROUND('Annex 2. 2024 Firm'!E24*90%,2)</f>
        <v>0.59</v>
      </c>
      <c r="F24" s="493">
        <f>ROUND('Annex 2. 2024 Firm'!F24*90%,2)</f>
        <v>3.43</v>
      </c>
      <c r="G24" s="493">
        <f>ROUND('Annex 2. 2024 Firm'!G24*90%,2)</f>
        <v>0.14000000000000001</v>
      </c>
      <c r="H24" s="493">
        <f>ROUND('Annex 2. 2024 Firm'!H24*90%,2)</f>
        <v>0.15</v>
      </c>
      <c r="I24" s="493">
        <f>ROUND('Annex 2. 2024 Firm'!I24*90%,2)</f>
        <v>13.61</v>
      </c>
      <c r="J24" s="493">
        <f>ROUND('Annex 2. 2024 Firm'!J24*90%,2)</f>
        <v>0.53</v>
      </c>
      <c r="K24" s="493">
        <f>ROUND('Annex 2. 2024 Firm'!K24*90%,2)</f>
        <v>0.59</v>
      </c>
      <c r="L24" s="493">
        <f>ROUND('Annex 2. 2024 Firm'!L24*90%,2)</f>
        <v>13.61</v>
      </c>
      <c r="M24" s="493">
        <f>ROUND('Annex 2. 2024 Firm'!M24*90%,2)</f>
        <v>0.53</v>
      </c>
      <c r="N24" s="493">
        <f>ROUND('Annex 2. 2024 Firm'!N24*90%,2)</f>
        <v>0.59</v>
      </c>
      <c r="O24" s="493">
        <f>ROUND('Annex 2. 2024 Firm'!O24*90%,2)</f>
        <v>13.61</v>
      </c>
      <c r="P24" s="493">
        <f>ROUND('Annex 2. 2024 Firm'!P24*90%,2)</f>
        <v>0.53</v>
      </c>
      <c r="Q24" s="493">
        <f>ROUND('Annex 2. 2024 Firm'!Q24*90%,2)</f>
        <v>0.59</v>
      </c>
      <c r="R24" s="493"/>
      <c r="S24" s="493"/>
      <c r="T24" s="493"/>
      <c r="U24" s="726">
        <f>ROUND('Annex 2. 2024 Firm'!U24*90%,6)</f>
        <v>4.3899999999999999E-4</v>
      </c>
      <c r="V24" s="726"/>
      <c r="W24" s="726">
        <f>ROUND('Annex 2. 2024 Firm'!W24*90%,6)</f>
        <v>5.2700000000000002E-4</v>
      </c>
      <c r="X24" s="726"/>
      <c r="Y24" s="492">
        <f>ROUND('Annex 2. 2024 Firm'!Y24*90%,6)</f>
        <v>5.9699999999999998E-4</v>
      </c>
      <c r="Z24" s="493">
        <f>ROUND('Annex 2. 2024 Firm'!Z24*90%,2)</f>
        <v>12.1</v>
      </c>
      <c r="AA24" s="493">
        <f>ROUND('Annex 2. 2024 Firm'!AA24*90%,2)</f>
        <v>0.78</v>
      </c>
      <c r="AB24" s="493">
        <f>ROUND('Annex 2. 2024 Firm'!AB24*90%,2)</f>
        <v>7.88</v>
      </c>
      <c r="AC24" s="493">
        <f>ROUND('Annex 2. 2024 Firm'!AC24*90%,2)</f>
        <v>0.5</v>
      </c>
      <c r="AD24" s="493">
        <f>ROUND('Annex 2. 2024 Firm'!AD24*90%,2)</f>
        <v>10.41</v>
      </c>
      <c r="AE24" s="493">
        <f>ROUND('Annex 2. 2024 Firm'!AE24*90%,2)</f>
        <v>0.41</v>
      </c>
      <c r="AF24" s="493">
        <f>ROUND('Annex 2. 2024 Firm'!AF24*90%,2)</f>
        <v>0.46</v>
      </c>
      <c r="AG24" s="493">
        <f>ROUND('Annex 2. 2024 Firm'!AG24*90%,2)</f>
        <v>4.55</v>
      </c>
      <c r="AH24" s="493">
        <f>ROUND('Annex 2. 2024 Firm'!AH24*90%,2)</f>
        <v>0.3</v>
      </c>
      <c r="AI24" s="493"/>
      <c r="AJ24" s="493"/>
      <c r="AK24" s="493"/>
      <c r="AL24" s="726">
        <f>ROUND('Annex 2. 2024 Firm'!AL24*90%,6)</f>
        <v>3.3599999999999998E-4</v>
      </c>
      <c r="AM24" s="726"/>
      <c r="AN24" s="726">
        <f>ROUND('Annex 2. 2024 Firm'!AN24*90%,6)</f>
        <v>4.0299999999999998E-4</v>
      </c>
      <c r="AO24" s="726"/>
      <c r="AP24" s="726">
        <f>ROUND('Annex 2. 2024 Firm'!AP24*90%,6)</f>
        <v>4.57E-4</v>
      </c>
      <c r="AQ24" s="726"/>
    </row>
    <row r="25" spans="1:43" ht="15" customHeight="1" x14ac:dyDescent="0.25">
      <c r="A25" s="751" t="s">
        <v>206</v>
      </c>
      <c r="B25" s="751"/>
      <c r="C25" s="493">
        <f>ROUND('Annex 2. 2024 Firm'!C25*90%,2)</f>
        <v>13.17</v>
      </c>
      <c r="D25" s="493">
        <f>ROUND('Annex 2. 2024 Firm'!D25*90%,2)</f>
        <v>0.53</v>
      </c>
      <c r="E25" s="493">
        <f>ROUND('Annex 2. 2024 Firm'!E25*90%,2)</f>
        <v>0.59</v>
      </c>
      <c r="F25" s="493">
        <f>ROUND('Annex 2. 2024 Firm'!F25*90%,2)</f>
        <v>3.31</v>
      </c>
      <c r="G25" s="493">
        <f>ROUND('Annex 2. 2024 Firm'!G25*90%,2)</f>
        <v>0.14000000000000001</v>
      </c>
      <c r="H25" s="493">
        <f>ROUND('Annex 2. 2024 Firm'!H25*90%,2)</f>
        <v>0.15</v>
      </c>
      <c r="I25" s="493">
        <f>ROUND('Annex 2. 2024 Firm'!I25*90%,2)</f>
        <v>13.17</v>
      </c>
      <c r="J25" s="493">
        <f>ROUND('Annex 2. 2024 Firm'!J25*90%,2)</f>
        <v>0.53</v>
      </c>
      <c r="K25" s="493">
        <f>ROUND('Annex 2. 2024 Firm'!K25*90%,2)</f>
        <v>0.59</v>
      </c>
      <c r="L25" s="493">
        <f>ROUND('Annex 2. 2024 Firm'!L25*90%,2)</f>
        <v>13.17</v>
      </c>
      <c r="M25" s="493">
        <f>ROUND('Annex 2. 2024 Firm'!M25*90%,2)</f>
        <v>0.53</v>
      </c>
      <c r="N25" s="493">
        <f>ROUND('Annex 2. 2024 Firm'!N25*90%,2)</f>
        <v>0.59</v>
      </c>
      <c r="O25" s="493">
        <f>ROUND('Annex 2. 2024 Firm'!O25*90%,2)</f>
        <v>13.17</v>
      </c>
      <c r="P25" s="493">
        <f>ROUND('Annex 2. 2024 Firm'!P25*90%,2)</f>
        <v>0.53</v>
      </c>
      <c r="Q25" s="493">
        <f>ROUND('Annex 2. 2024 Firm'!Q25*90%,2)</f>
        <v>0.59</v>
      </c>
      <c r="R25" s="493"/>
      <c r="S25" s="493"/>
      <c r="T25" s="493"/>
      <c r="U25" s="726">
        <f>ROUND('Annex 2. 2024 Firm'!U25*90%,6)</f>
        <v>4.3899999999999999E-4</v>
      </c>
      <c r="V25" s="726"/>
      <c r="W25" s="726">
        <f>ROUND('Annex 2. 2024 Firm'!W25*90%,6)</f>
        <v>5.2700000000000002E-4</v>
      </c>
      <c r="X25" s="726"/>
      <c r="Y25" s="492">
        <f>ROUND('Annex 2. 2024 Firm'!Y25*90%,6)</f>
        <v>5.9699999999999998E-4</v>
      </c>
      <c r="Z25" s="493">
        <f>ROUND('Annex 2. 2024 Firm'!Z25*90%,2)</f>
        <v>15.29</v>
      </c>
      <c r="AA25" s="493">
        <f>ROUND('Annex 2. 2024 Firm'!AA25*90%,2)</f>
        <v>1.02</v>
      </c>
      <c r="AB25" s="493">
        <f>ROUND('Annex 2. 2024 Firm'!AB25*90%,2)</f>
        <v>9.9499999999999993</v>
      </c>
      <c r="AC25" s="493">
        <f>ROUND('Annex 2. 2024 Firm'!AC25*90%,2)</f>
        <v>0.67</v>
      </c>
      <c r="AD25" s="493">
        <f>ROUND('Annex 2. 2024 Firm'!AD25*90%,2)</f>
        <v>10.08</v>
      </c>
      <c r="AE25" s="493">
        <f>ROUND('Annex 2. 2024 Firm'!AE25*90%,2)</f>
        <v>0.41</v>
      </c>
      <c r="AF25" s="493">
        <f>ROUND('Annex 2. 2024 Firm'!AF25*90%,2)</f>
        <v>0.46</v>
      </c>
      <c r="AG25" s="493">
        <f>ROUND('Annex 2. 2024 Firm'!AG25*90%,2)</f>
        <v>5.74</v>
      </c>
      <c r="AH25" s="493">
        <f>ROUND('Annex 2. 2024 Firm'!AH25*90%,2)</f>
        <v>0.39</v>
      </c>
      <c r="AI25" s="493"/>
      <c r="AJ25" s="493"/>
      <c r="AK25" s="493"/>
      <c r="AL25" s="726">
        <f>ROUND('Annex 2. 2024 Firm'!AL25*90%,6)</f>
        <v>3.3599999999999998E-4</v>
      </c>
      <c r="AM25" s="726"/>
      <c r="AN25" s="726">
        <f>ROUND('Annex 2. 2024 Firm'!AN25*90%,6)</f>
        <v>4.0299999999999998E-4</v>
      </c>
      <c r="AO25" s="726"/>
      <c r="AP25" s="726">
        <f>ROUND('Annex 2. 2024 Firm'!AP25*90%,6)</f>
        <v>4.57E-4</v>
      </c>
      <c r="AQ25" s="726"/>
    </row>
    <row r="26" spans="1:43" ht="15" customHeight="1" x14ac:dyDescent="0.25">
      <c r="A26" s="751" t="s">
        <v>207</v>
      </c>
      <c r="B26" s="751"/>
      <c r="C26" s="493">
        <f>ROUND('Annex 2. 2024 Firm'!C26*90%,2)</f>
        <v>13.61</v>
      </c>
      <c r="D26" s="493">
        <f>ROUND('Annex 2. 2024 Firm'!D26*90%,2)</f>
        <v>0.53</v>
      </c>
      <c r="E26" s="493">
        <f>ROUND('Annex 2. 2024 Firm'!E26*90%,2)</f>
        <v>0.59</v>
      </c>
      <c r="F26" s="493">
        <f>ROUND('Annex 2. 2024 Firm'!F26*90%,2)</f>
        <v>3.43</v>
      </c>
      <c r="G26" s="493">
        <f>ROUND('Annex 2. 2024 Firm'!G26*90%,2)</f>
        <v>0.14000000000000001</v>
      </c>
      <c r="H26" s="493">
        <f>ROUND('Annex 2. 2024 Firm'!H26*90%,2)</f>
        <v>0.15</v>
      </c>
      <c r="I26" s="493">
        <f>ROUND('Annex 2. 2024 Firm'!I26*90%,2)</f>
        <v>13.61</v>
      </c>
      <c r="J26" s="493">
        <f>ROUND('Annex 2. 2024 Firm'!J26*90%,2)</f>
        <v>0.53</v>
      </c>
      <c r="K26" s="493">
        <f>ROUND('Annex 2. 2024 Firm'!K26*90%,2)</f>
        <v>0.59</v>
      </c>
      <c r="L26" s="493">
        <f>ROUND('Annex 2. 2024 Firm'!L26*90%,2)</f>
        <v>13.61</v>
      </c>
      <c r="M26" s="493">
        <f>ROUND('Annex 2. 2024 Firm'!M26*90%,2)</f>
        <v>0.53</v>
      </c>
      <c r="N26" s="493">
        <f>ROUND('Annex 2. 2024 Firm'!N26*90%,2)</f>
        <v>0.59</v>
      </c>
      <c r="O26" s="493">
        <f>ROUND('Annex 2. 2024 Firm'!O26*90%,2)</f>
        <v>13.61</v>
      </c>
      <c r="P26" s="493">
        <f>ROUND('Annex 2. 2024 Firm'!P26*90%,2)</f>
        <v>0.53</v>
      </c>
      <c r="Q26" s="493">
        <f>ROUND('Annex 2. 2024 Firm'!Q26*90%,2)</f>
        <v>0.59</v>
      </c>
      <c r="R26" s="493"/>
      <c r="S26" s="493"/>
      <c r="T26" s="493"/>
      <c r="U26" s="726">
        <f>ROUND('Annex 2. 2024 Firm'!U26*90%,6)</f>
        <v>4.3899999999999999E-4</v>
      </c>
      <c r="V26" s="726"/>
      <c r="W26" s="726">
        <f>ROUND('Annex 2. 2024 Firm'!W26*90%,6)</f>
        <v>5.2700000000000002E-4</v>
      </c>
      <c r="X26" s="726"/>
      <c r="Y26" s="492">
        <f>ROUND('Annex 2. 2024 Firm'!Y26*90%,6)</f>
        <v>5.9699999999999998E-4</v>
      </c>
      <c r="Z26" s="493">
        <f>ROUND('Annex 2. 2024 Firm'!Z26*90%,2)</f>
        <v>20.48</v>
      </c>
      <c r="AA26" s="493">
        <f>ROUND('Annex 2. 2024 Firm'!AA26*90%,2)</f>
        <v>1.32</v>
      </c>
      <c r="AB26" s="493">
        <f>ROUND('Annex 2. 2024 Firm'!AB26*90%,2)</f>
        <v>13.34</v>
      </c>
      <c r="AC26" s="493">
        <f>ROUND('Annex 2. 2024 Firm'!AC26*90%,2)</f>
        <v>0.86</v>
      </c>
      <c r="AD26" s="493">
        <f>ROUND('Annex 2. 2024 Firm'!AD26*90%,2)</f>
        <v>10.41</v>
      </c>
      <c r="AE26" s="493">
        <f>ROUND('Annex 2. 2024 Firm'!AE26*90%,2)</f>
        <v>0.41</v>
      </c>
      <c r="AF26" s="493">
        <f>ROUND('Annex 2. 2024 Firm'!AF26*90%,2)</f>
        <v>0.46</v>
      </c>
      <c r="AG26" s="493">
        <f>ROUND('Annex 2. 2024 Firm'!AG26*90%,2)</f>
        <v>7.7</v>
      </c>
      <c r="AH26" s="493">
        <f>ROUND('Annex 2. 2024 Firm'!AH26*90%,2)</f>
        <v>0.5</v>
      </c>
      <c r="AI26" s="493"/>
      <c r="AJ26" s="493"/>
      <c r="AK26" s="493"/>
      <c r="AL26" s="726">
        <f>ROUND('Annex 2. 2024 Firm'!AL26*90%,6)</f>
        <v>3.3599999999999998E-4</v>
      </c>
      <c r="AM26" s="726"/>
      <c r="AN26" s="726">
        <f>ROUND('Annex 2. 2024 Firm'!AN26*90%,6)</f>
        <v>4.0299999999999998E-4</v>
      </c>
      <c r="AO26" s="726"/>
      <c r="AP26" s="726">
        <f>ROUND('Annex 2. 2024 Firm'!AP26*90%,6)</f>
        <v>4.57E-4</v>
      </c>
      <c r="AQ26" s="726"/>
    </row>
    <row r="27" spans="1:43" ht="23.25" customHeight="1" x14ac:dyDescent="0.25">
      <c r="A27" s="753" t="s">
        <v>208</v>
      </c>
      <c r="B27" s="737"/>
      <c r="C27" s="737"/>
      <c r="D27" s="737"/>
      <c r="E27" s="737"/>
      <c r="F27" s="737"/>
      <c r="G27" s="737"/>
      <c r="H27" s="737"/>
      <c r="I27" s="737"/>
      <c r="J27" s="737"/>
      <c r="K27" s="737"/>
      <c r="L27" s="737"/>
      <c r="M27" s="737"/>
      <c r="N27" s="737"/>
      <c r="O27" s="737"/>
      <c r="P27" s="737"/>
      <c r="Q27" s="737"/>
      <c r="R27" s="737"/>
      <c r="S27" s="737"/>
      <c r="T27" s="737"/>
      <c r="U27" s="737"/>
      <c r="V27" s="737"/>
      <c r="W27" s="737"/>
      <c r="X27" s="737"/>
      <c r="Y27" s="737"/>
      <c r="Z27" s="737"/>
      <c r="AA27" s="737"/>
      <c r="AB27" s="737"/>
      <c r="AC27" s="737"/>
      <c r="AD27" s="737"/>
      <c r="AE27" s="737"/>
      <c r="AF27" s="737"/>
      <c r="AG27" s="737"/>
      <c r="AH27" s="737"/>
      <c r="AI27" s="737"/>
      <c r="AJ27" s="737"/>
      <c r="AK27" s="737"/>
      <c r="AL27" s="737"/>
      <c r="AM27" s="737"/>
      <c r="AN27" s="737"/>
      <c r="AO27" s="737"/>
      <c r="AP27" s="737"/>
      <c r="AQ27" s="737"/>
    </row>
    <row r="28" spans="1:43" ht="11.25" customHeight="1" x14ac:dyDescent="0.25">
      <c r="A28" s="704" t="s">
        <v>209</v>
      </c>
      <c r="B28" s="705"/>
      <c r="C28" s="705"/>
      <c r="D28" s="705"/>
      <c r="E28" s="705"/>
      <c r="F28" s="705"/>
      <c r="G28" s="705"/>
      <c r="H28" s="705"/>
      <c r="I28" s="705"/>
      <c r="J28" s="705"/>
      <c r="K28" s="705"/>
      <c r="L28" s="705"/>
      <c r="M28" s="705"/>
      <c r="N28" s="705"/>
      <c r="O28" s="705"/>
      <c r="P28" s="705"/>
      <c r="Q28" s="705"/>
      <c r="R28" s="705"/>
      <c r="S28" s="705"/>
      <c r="T28" s="705"/>
      <c r="U28" s="705"/>
      <c r="V28" s="705"/>
      <c r="W28" s="705"/>
      <c r="X28" s="705"/>
      <c r="Y28" s="705"/>
      <c r="Z28" s="705"/>
      <c r="AA28" s="705"/>
      <c r="AB28" s="705"/>
      <c r="AC28" s="705"/>
      <c r="AD28" s="705"/>
      <c r="AE28" s="705"/>
      <c r="AF28" s="705"/>
      <c r="AG28" s="705"/>
      <c r="AH28" s="705"/>
      <c r="AI28" s="705"/>
      <c r="AJ28" s="705"/>
      <c r="AK28" s="705"/>
      <c r="AL28" s="705"/>
      <c r="AM28" s="705"/>
      <c r="AN28" s="705"/>
      <c r="AO28" s="705"/>
      <c r="AP28" s="705"/>
      <c r="AQ28" s="706"/>
    </row>
    <row r="29" spans="1:43" ht="13.5" customHeight="1" x14ac:dyDescent="0.25">
      <c r="A29" s="707"/>
      <c r="B29" s="708"/>
      <c r="C29" s="708"/>
      <c r="D29" s="708"/>
      <c r="E29" s="708"/>
      <c r="F29" s="708"/>
      <c r="G29" s="708"/>
      <c r="H29" s="708"/>
      <c r="I29" s="708"/>
      <c r="J29" s="708"/>
      <c r="K29" s="708"/>
      <c r="L29" s="708"/>
      <c r="M29" s="708"/>
      <c r="N29" s="708"/>
      <c r="O29" s="708"/>
      <c r="P29" s="708"/>
      <c r="Q29" s="708"/>
      <c r="R29" s="708"/>
      <c r="S29" s="708"/>
      <c r="T29" s="708"/>
      <c r="U29" s="708"/>
      <c r="V29" s="708"/>
      <c r="W29" s="708"/>
      <c r="X29" s="708"/>
      <c r="Y29" s="708"/>
      <c r="Z29" s="708"/>
      <c r="AA29" s="708"/>
      <c r="AB29" s="708"/>
      <c r="AC29" s="708"/>
      <c r="AD29" s="708"/>
      <c r="AE29" s="708"/>
      <c r="AF29" s="708"/>
      <c r="AG29" s="708"/>
      <c r="AH29" s="708"/>
      <c r="AI29" s="708"/>
      <c r="AJ29" s="708"/>
      <c r="AK29" s="708"/>
      <c r="AL29" s="708"/>
      <c r="AM29" s="708"/>
      <c r="AN29" s="708"/>
      <c r="AO29" s="708"/>
      <c r="AP29" s="708"/>
      <c r="AQ29" s="709"/>
    </row>
    <row r="30" spans="1:43" x14ac:dyDescent="0.25">
      <c r="A30" s="707"/>
      <c r="B30" s="708"/>
      <c r="C30" s="708"/>
      <c r="D30" s="708"/>
      <c r="E30" s="708"/>
      <c r="F30" s="708"/>
      <c r="G30" s="708"/>
      <c r="H30" s="708"/>
      <c r="I30" s="708"/>
      <c r="J30" s="708"/>
      <c r="K30" s="708"/>
      <c r="L30" s="708"/>
      <c r="M30" s="708"/>
      <c r="N30" s="708"/>
      <c r="O30" s="708"/>
      <c r="P30" s="708"/>
      <c r="Q30" s="708"/>
      <c r="R30" s="708"/>
      <c r="S30" s="708"/>
      <c r="T30" s="708"/>
      <c r="U30" s="708"/>
      <c r="V30" s="708"/>
      <c r="W30" s="708"/>
      <c r="X30" s="708"/>
      <c r="Y30" s="708"/>
      <c r="Z30" s="708"/>
      <c r="AA30" s="708"/>
      <c r="AB30" s="708"/>
      <c r="AC30" s="708"/>
      <c r="AD30" s="708"/>
      <c r="AE30" s="708"/>
      <c r="AF30" s="708"/>
      <c r="AG30" s="708"/>
      <c r="AH30" s="708"/>
      <c r="AI30" s="708"/>
      <c r="AJ30" s="708"/>
      <c r="AK30" s="708"/>
      <c r="AL30" s="708"/>
      <c r="AM30" s="708"/>
      <c r="AN30" s="708"/>
      <c r="AO30" s="708"/>
      <c r="AP30" s="708"/>
      <c r="AQ30" s="709"/>
    </row>
    <row r="31" spans="1:43" x14ac:dyDescent="0.25">
      <c r="A31" s="707"/>
      <c r="B31" s="708"/>
      <c r="C31" s="708"/>
      <c r="D31" s="708"/>
      <c r="E31" s="708"/>
      <c r="F31" s="708"/>
      <c r="G31" s="708"/>
      <c r="H31" s="708"/>
      <c r="I31" s="708"/>
      <c r="J31" s="708"/>
      <c r="K31" s="708"/>
      <c r="L31" s="708"/>
      <c r="M31" s="708"/>
      <c r="N31" s="708"/>
      <c r="O31" s="708"/>
      <c r="P31" s="708"/>
      <c r="Q31" s="708"/>
      <c r="R31" s="708"/>
      <c r="S31" s="708"/>
      <c r="T31" s="708"/>
      <c r="U31" s="708"/>
      <c r="V31" s="708"/>
      <c r="W31" s="708"/>
      <c r="X31" s="708"/>
      <c r="Y31" s="708"/>
      <c r="Z31" s="708"/>
      <c r="AA31" s="708"/>
      <c r="AB31" s="708"/>
      <c r="AC31" s="708"/>
      <c r="AD31" s="708"/>
      <c r="AE31" s="708"/>
      <c r="AF31" s="708"/>
      <c r="AG31" s="708"/>
      <c r="AH31" s="708"/>
      <c r="AI31" s="708"/>
      <c r="AJ31" s="708"/>
      <c r="AK31" s="708"/>
      <c r="AL31" s="708"/>
      <c r="AM31" s="708"/>
      <c r="AN31" s="708"/>
      <c r="AO31" s="708"/>
      <c r="AP31" s="708"/>
      <c r="AQ31" s="709"/>
    </row>
    <row r="32" spans="1:43" x14ac:dyDescent="0.25">
      <c r="A32" s="707"/>
      <c r="B32" s="708"/>
      <c r="C32" s="708"/>
      <c r="D32" s="708"/>
      <c r="E32" s="708"/>
      <c r="F32" s="708"/>
      <c r="G32" s="708"/>
      <c r="H32" s="708"/>
      <c r="I32" s="708"/>
      <c r="J32" s="708"/>
      <c r="K32" s="708"/>
      <c r="L32" s="708"/>
      <c r="M32" s="708"/>
      <c r="N32" s="708"/>
      <c r="O32" s="708"/>
      <c r="P32" s="708"/>
      <c r="Q32" s="708"/>
      <c r="R32" s="708"/>
      <c r="S32" s="708"/>
      <c r="T32" s="708"/>
      <c r="U32" s="708"/>
      <c r="V32" s="708"/>
      <c r="W32" s="708"/>
      <c r="X32" s="708"/>
      <c r="Y32" s="708"/>
      <c r="Z32" s="708"/>
      <c r="AA32" s="708"/>
      <c r="AB32" s="708"/>
      <c r="AC32" s="708"/>
      <c r="AD32" s="708"/>
      <c r="AE32" s="708"/>
      <c r="AF32" s="708"/>
      <c r="AG32" s="708"/>
      <c r="AH32" s="708"/>
      <c r="AI32" s="708"/>
      <c r="AJ32" s="708"/>
      <c r="AK32" s="708"/>
      <c r="AL32" s="708"/>
      <c r="AM32" s="708"/>
      <c r="AN32" s="708"/>
      <c r="AO32" s="708"/>
      <c r="AP32" s="708"/>
      <c r="AQ32" s="709"/>
    </row>
    <row r="33" spans="1:43" x14ac:dyDescent="0.25">
      <c r="A33" s="707"/>
      <c r="B33" s="708"/>
      <c r="C33" s="708"/>
      <c r="D33" s="708"/>
      <c r="E33" s="708"/>
      <c r="F33" s="708"/>
      <c r="G33" s="708"/>
      <c r="H33" s="708"/>
      <c r="I33" s="708"/>
      <c r="J33" s="708"/>
      <c r="K33" s="708"/>
      <c r="L33" s="708"/>
      <c r="M33" s="708"/>
      <c r="N33" s="708"/>
      <c r="O33" s="708"/>
      <c r="P33" s="708"/>
      <c r="Q33" s="708"/>
      <c r="R33" s="708"/>
      <c r="S33" s="708"/>
      <c r="T33" s="708"/>
      <c r="U33" s="708"/>
      <c r="V33" s="708"/>
      <c r="W33" s="708"/>
      <c r="X33" s="708"/>
      <c r="Y33" s="708"/>
      <c r="Z33" s="708"/>
      <c r="AA33" s="708"/>
      <c r="AB33" s="708"/>
      <c r="AC33" s="708"/>
      <c r="AD33" s="708"/>
      <c r="AE33" s="708"/>
      <c r="AF33" s="708"/>
      <c r="AG33" s="708"/>
      <c r="AH33" s="708"/>
      <c r="AI33" s="708"/>
      <c r="AJ33" s="708"/>
      <c r="AK33" s="708"/>
      <c r="AL33" s="708"/>
      <c r="AM33" s="708"/>
      <c r="AN33" s="708"/>
      <c r="AO33" s="708"/>
      <c r="AP33" s="708"/>
      <c r="AQ33" s="709"/>
    </row>
    <row r="34" spans="1:43" x14ac:dyDescent="0.25">
      <c r="A34" s="707"/>
      <c r="B34" s="708"/>
      <c r="C34" s="708"/>
      <c r="D34" s="708"/>
      <c r="E34" s="708"/>
      <c r="F34" s="708"/>
      <c r="G34" s="708"/>
      <c r="H34" s="708"/>
      <c r="I34" s="708"/>
      <c r="J34" s="708"/>
      <c r="K34" s="708"/>
      <c r="L34" s="708"/>
      <c r="M34" s="708"/>
      <c r="N34" s="708"/>
      <c r="O34" s="708"/>
      <c r="P34" s="708"/>
      <c r="Q34" s="708"/>
      <c r="R34" s="708"/>
      <c r="S34" s="708"/>
      <c r="T34" s="708"/>
      <c r="U34" s="708"/>
      <c r="V34" s="708"/>
      <c r="W34" s="708"/>
      <c r="X34" s="708"/>
      <c r="Y34" s="708"/>
      <c r="Z34" s="708"/>
      <c r="AA34" s="708"/>
      <c r="AB34" s="708"/>
      <c r="AC34" s="708"/>
      <c r="AD34" s="708"/>
      <c r="AE34" s="708"/>
      <c r="AF34" s="708"/>
      <c r="AG34" s="708"/>
      <c r="AH34" s="708"/>
      <c r="AI34" s="708"/>
      <c r="AJ34" s="708"/>
      <c r="AK34" s="708"/>
      <c r="AL34" s="708"/>
      <c r="AM34" s="708"/>
      <c r="AN34" s="708"/>
      <c r="AO34" s="708"/>
      <c r="AP34" s="708"/>
      <c r="AQ34" s="709"/>
    </row>
    <row r="35" spans="1:43" x14ac:dyDescent="0.25">
      <c r="A35" s="707"/>
      <c r="B35" s="708"/>
      <c r="C35" s="708"/>
      <c r="D35" s="708"/>
      <c r="E35" s="708"/>
      <c r="F35" s="708"/>
      <c r="G35" s="708"/>
      <c r="H35" s="708"/>
      <c r="I35" s="708"/>
      <c r="J35" s="708"/>
      <c r="K35" s="708"/>
      <c r="L35" s="708"/>
      <c r="M35" s="708"/>
      <c r="N35" s="708"/>
      <c r="O35" s="708"/>
      <c r="P35" s="708"/>
      <c r="Q35" s="708"/>
      <c r="R35" s="708"/>
      <c r="S35" s="708"/>
      <c r="T35" s="708"/>
      <c r="U35" s="708"/>
      <c r="V35" s="708"/>
      <c r="W35" s="708"/>
      <c r="X35" s="708"/>
      <c r="Y35" s="708"/>
      <c r="Z35" s="708"/>
      <c r="AA35" s="708"/>
      <c r="AB35" s="708"/>
      <c r="AC35" s="708"/>
      <c r="AD35" s="708"/>
      <c r="AE35" s="708"/>
      <c r="AF35" s="708"/>
      <c r="AG35" s="708"/>
      <c r="AH35" s="708"/>
      <c r="AI35" s="708"/>
      <c r="AJ35" s="708"/>
      <c r="AK35" s="708"/>
      <c r="AL35" s="708"/>
      <c r="AM35" s="708"/>
      <c r="AN35" s="708"/>
      <c r="AO35" s="708"/>
      <c r="AP35" s="708"/>
      <c r="AQ35" s="709"/>
    </row>
    <row r="36" spans="1:43" ht="6" customHeight="1" x14ac:dyDescent="0.25">
      <c r="A36" s="707"/>
      <c r="B36" s="708"/>
      <c r="C36" s="708"/>
      <c r="D36" s="708"/>
      <c r="E36" s="708"/>
      <c r="F36" s="708"/>
      <c r="G36" s="708"/>
      <c r="H36" s="708"/>
      <c r="I36" s="708"/>
      <c r="J36" s="708"/>
      <c r="K36" s="708"/>
      <c r="L36" s="708"/>
      <c r="M36" s="708"/>
      <c r="N36" s="708"/>
      <c r="O36" s="708"/>
      <c r="P36" s="708"/>
      <c r="Q36" s="708"/>
      <c r="R36" s="708"/>
      <c r="S36" s="708"/>
      <c r="T36" s="708"/>
      <c r="U36" s="708"/>
      <c r="V36" s="708"/>
      <c r="W36" s="708"/>
      <c r="X36" s="708"/>
      <c r="Y36" s="708"/>
      <c r="Z36" s="708"/>
      <c r="AA36" s="708"/>
      <c r="AB36" s="708"/>
      <c r="AC36" s="708"/>
      <c r="AD36" s="708"/>
      <c r="AE36" s="708"/>
      <c r="AF36" s="708"/>
      <c r="AG36" s="708"/>
      <c r="AH36" s="708"/>
      <c r="AI36" s="708"/>
      <c r="AJ36" s="708"/>
      <c r="AK36" s="708"/>
      <c r="AL36" s="708"/>
      <c r="AM36" s="708"/>
      <c r="AN36" s="708"/>
      <c r="AO36" s="708"/>
      <c r="AP36" s="708"/>
      <c r="AQ36" s="709"/>
    </row>
    <row r="37" spans="1:43" ht="6" customHeight="1" x14ac:dyDescent="0.25">
      <c r="A37" s="707"/>
      <c r="B37" s="708"/>
      <c r="C37" s="708"/>
      <c r="D37" s="708"/>
      <c r="E37" s="708"/>
      <c r="F37" s="708"/>
      <c r="G37" s="708"/>
      <c r="H37" s="708"/>
      <c r="I37" s="708"/>
      <c r="J37" s="708"/>
      <c r="K37" s="708"/>
      <c r="L37" s="708"/>
      <c r="M37" s="708"/>
      <c r="N37" s="708"/>
      <c r="O37" s="708"/>
      <c r="P37" s="708"/>
      <c r="Q37" s="708"/>
      <c r="R37" s="708"/>
      <c r="S37" s="708"/>
      <c r="T37" s="708"/>
      <c r="U37" s="708"/>
      <c r="V37" s="708"/>
      <c r="W37" s="708"/>
      <c r="X37" s="708"/>
      <c r="Y37" s="708"/>
      <c r="Z37" s="708"/>
      <c r="AA37" s="708"/>
      <c r="AB37" s="708"/>
      <c r="AC37" s="708"/>
      <c r="AD37" s="708"/>
      <c r="AE37" s="708"/>
      <c r="AF37" s="708"/>
      <c r="AG37" s="708"/>
      <c r="AH37" s="708"/>
      <c r="AI37" s="708"/>
      <c r="AJ37" s="708"/>
      <c r="AK37" s="708"/>
      <c r="AL37" s="708"/>
      <c r="AM37" s="708"/>
      <c r="AN37" s="708"/>
      <c r="AO37" s="708"/>
      <c r="AP37" s="708"/>
      <c r="AQ37" s="709"/>
    </row>
    <row r="38" spans="1:43" ht="15" customHeight="1" x14ac:dyDescent="0.25">
      <c r="A38" s="707"/>
      <c r="B38" s="708"/>
      <c r="C38" s="708"/>
      <c r="D38" s="708"/>
      <c r="E38" s="708"/>
      <c r="F38" s="708"/>
      <c r="G38" s="708"/>
      <c r="H38" s="708"/>
      <c r="I38" s="708"/>
      <c r="J38" s="708"/>
      <c r="K38" s="708"/>
      <c r="L38" s="708"/>
      <c r="M38" s="708"/>
      <c r="N38" s="708"/>
      <c r="O38" s="708"/>
      <c r="P38" s="708"/>
      <c r="Q38" s="708"/>
      <c r="R38" s="708"/>
      <c r="S38" s="708"/>
      <c r="T38" s="708"/>
      <c r="U38" s="708"/>
      <c r="V38" s="708"/>
      <c r="W38" s="708"/>
      <c r="X38" s="708"/>
      <c r="Y38" s="708"/>
      <c r="Z38" s="708"/>
      <c r="AA38" s="708"/>
      <c r="AB38" s="708"/>
      <c r="AC38" s="708"/>
      <c r="AD38" s="708"/>
      <c r="AE38" s="708"/>
      <c r="AF38" s="708"/>
      <c r="AG38" s="708"/>
      <c r="AH38" s="708"/>
      <c r="AI38" s="708"/>
      <c r="AJ38" s="708"/>
      <c r="AK38" s="708"/>
      <c r="AL38" s="708"/>
      <c r="AM38" s="708"/>
      <c r="AN38" s="708"/>
      <c r="AO38" s="708"/>
      <c r="AP38" s="708"/>
      <c r="AQ38" s="709"/>
    </row>
    <row r="39" spans="1:43" ht="7.5" customHeight="1" x14ac:dyDescent="0.25">
      <c r="A39" s="710"/>
      <c r="B39" s="711"/>
      <c r="C39" s="711"/>
      <c r="D39" s="711"/>
      <c r="E39" s="711"/>
      <c r="F39" s="711"/>
      <c r="G39" s="711"/>
      <c r="H39" s="711"/>
      <c r="I39" s="711"/>
      <c r="J39" s="711"/>
      <c r="K39" s="711"/>
      <c r="L39" s="711"/>
      <c r="M39" s="711"/>
      <c r="N39" s="711"/>
      <c r="O39" s="711"/>
      <c r="P39" s="711"/>
      <c r="Q39" s="711"/>
      <c r="R39" s="711"/>
      <c r="S39" s="711"/>
      <c r="T39" s="711"/>
      <c r="U39" s="711"/>
      <c r="V39" s="711"/>
      <c r="W39" s="711"/>
      <c r="X39" s="711"/>
      <c r="Y39" s="711"/>
      <c r="Z39" s="711"/>
      <c r="AA39" s="711"/>
      <c r="AB39" s="711"/>
      <c r="AC39" s="711"/>
      <c r="AD39" s="711"/>
      <c r="AE39" s="711"/>
      <c r="AF39" s="711"/>
      <c r="AG39" s="711"/>
      <c r="AH39" s="711"/>
      <c r="AI39" s="711"/>
      <c r="AJ39" s="711"/>
      <c r="AK39" s="711"/>
      <c r="AL39" s="711"/>
      <c r="AM39" s="711"/>
      <c r="AN39" s="711"/>
      <c r="AO39" s="711"/>
      <c r="AP39" s="711"/>
      <c r="AQ39" s="712"/>
    </row>
  </sheetData>
  <mergeCells count="175">
    <mergeCell ref="Z3:AA3"/>
    <mergeCell ref="AB3:AC3"/>
    <mergeCell ref="AD3:AF3"/>
    <mergeCell ref="AG3:AH3"/>
    <mergeCell ref="AI3:AQ3"/>
    <mergeCell ref="A4:AQ4"/>
    <mergeCell ref="A1:B3"/>
    <mergeCell ref="C1:AQ1"/>
    <mergeCell ref="C2:Y2"/>
    <mergeCell ref="Z2:AQ2"/>
    <mergeCell ref="C3:E3"/>
    <mergeCell ref="F3:H3"/>
    <mergeCell ref="I3:K3"/>
    <mergeCell ref="L3:N3"/>
    <mergeCell ref="O3:Q3"/>
    <mergeCell ref="R3:Y3"/>
    <mergeCell ref="A5:B5"/>
    <mergeCell ref="C5:T5"/>
    <mergeCell ref="U5:Y5"/>
    <mergeCell ref="Z5:AK5"/>
    <mergeCell ref="AL5:AQ5"/>
    <mergeCell ref="A6:B6"/>
    <mergeCell ref="C6:E6"/>
    <mergeCell ref="F6:H6"/>
    <mergeCell ref="I6:K6"/>
    <mergeCell ref="L6:N6"/>
    <mergeCell ref="AG6:AH6"/>
    <mergeCell ref="AI6:AK6"/>
    <mergeCell ref="AL6:AQ6"/>
    <mergeCell ref="A7:AQ7"/>
    <mergeCell ref="A8:B8"/>
    <mergeCell ref="C8:T8"/>
    <mergeCell ref="U8:Y8"/>
    <mergeCell ref="Z8:AK8"/>
    <mergeCell ref="AL8:AQ8"/>
    <mergeCell ref="O6:Q6"/>
    <mergeCell ref="R6:T6"/>
    <mergeCell ref="U6:Y6"/>
    <mergeCell ref="Z6:AA6"/>
    <mergeCell ref="AB6:AC6"/>
    <mergeCell ref="AD6:AF6"/>
    <mergeCell ref="AL10:AQ10"/>
    <mergeCell ref="AI9:AK9"/>
    <mergeCell ref="AL9:AQ9"/>
    <mergeCell ref="A10:B10"/>
    <mergeCell ref="C10:E10"/>
    <mergeCell ref="F10:H10"/>
    <mergeCell ref="I10:K10"/>
    <mergeCell ref="L10:N10"/>
    <mergeCell ref="O10:Q10"/>
    <mergeCell ref="R10:T10"/>
    <mergeCell ref="U10:Y10"/>
    <mergeCell ref="R9:T9"/>
    <mergeCell ref="U9:Y9"/>
    <mergeCell ref="Z9:AA9"/>
    <mergeCell ref="AB9:AC9"/>
    <mergeCell ref="AD9:AF9"/>
    <mergeCell ref="AG9:AH9"/>
    <mergeCell ref="A9:B9"/>
    <mergeCell ref="C9:E9"/>
    <mergeCell ref="F9:H9"/>
    <mergeCell ref="I9:K9"/>
    <mergeCell ref="L9:N9"/>
    <mergeCell ref="O9:Q9"/>
    <mergeCell ref="F11:H11"/>
    <mergeCell ref="I11:K11"/>
    <mergeCell ref="L11:N11"/>
    <mergeCell ref="O11:Q11"/>
    <mergeCell ref="Z10:AA10"/>
    <mergeCell ref="AB10:AC10"/>
    <mergeCell ref="AD10:AF10"/>
    <mergeCell ref="AG10:AH10"/>
    <mergeCell ref="AI10:AK10"/>
    <mergeCell ref="Z12:AA12"/>
    <mergeCell ref="AB12:AC12"/>
    <mergeCell ref="AD12:AF12"/>
    <mergeCell ref="AG12:AH12"/>
    <mergeCell ref="AI12:AK12"/>
    <mergeCell ref="AL12:AQ12"/>
    <mergeCell ref="AI11:AK11"/>
    <mergeCell ref="AL11:AQ11"/>
    <mergeCell ref="A12:B12"/>
    <mergeCell ref="C12:E12"/>
    <mergeCell ref="F12:H12"/>
    <mergeCell ref="I12:K12"/>
    <mergeCell ref="L12:N12"/>
    <mergeCell ref="O12:Q12"/>
    <mergeCell ref="R12:T12"/>
    <mergeCell ref="U12:Y12"/>
    <mergeCell ref="R11:T11"/>
    <mergeCell ref="U11:Y11"/>
    <mergeCell ref="Z11:AA11"/>
    <mergeCell ref="AB11:AC11"/>
    <mergeCell ref="AD11:AF11"/>
    <mergeCell ref="AG11:AH11"/>
    <mergeCell ref="A11:B11"/>
    <mergeCell ref="C11:E11"/>
    <mergeCell ref="A16:B16"/>
    <mergeCell ref="U16:V16"/>
    <mergeCell ref="W16:X16"/>
    <mergeCell ref="AL16:AM16"/>
    <mergeCell ref="AN16:AO16"/>
    <mergeCell ref="AP16:AQ16"/>
    <mergeCell ref="A13:AQ13"/>
    <mergeCell ref="A14:B14"/>
    <mergeCell ref="U14:Y14"/>
    <mergeCell ref="AL14:AQ14"/>
    <mergeCell ref="A15:B15"/>
    <mergeCell ref="U15:V15"/>
    <mergeCell ref="W15:X15"/>
    <mergeCell ref="AL15:AM15"/>
    <mergeCell ref="AN15:AO15"/>
    <mergeCell ref="AP15:AQ15"/>
    <mergeCell ref="A18:B18"/>
    <mergeCell ref="U18:V18"/>
    <mergeCell ref="W18:X18"/>
    <mergeCell ref="AL18:AM18"/>
    <mergeCell ref="AN18:AO18"/>
    <mergeCell ref="AP18:AQ18"/>
    <mergeCell ref="A17:B17"/>
    <mergeCell ref="U17:V17"/>
    <mergeCell ref="W17:X17"/>
    <mergeCell ref="AL17:AM17"/>
    <mergeCell ref="AN17:AO17"/>
    <mergeCell ref="AP17:AQ17"/>
    <mergeCell ref="A20:B20"/>
    <mergeCell ref="U20:V20"/>
    <mergeCell ref="W20:X20"/>
    <mergeCell ref="AL20:AM20"/>
    <mergeCell ref="AN20:AO20"/>
    <mergeCell ref="AP20:AQ20"/>
    <mergeCell ref="A19:B19"/>
    <mergeCell ref="U19:V19"/>
    <mergeCell ref="W19:X19"/>
    <mergeCell ref="AL19:AM19"/>
    <mergeCell ref="AN19:AO19"/>
    <mergeCell ref="AP19:AQ19"/>
    <mergeCell ref="A22:B22"/>
    <mergeCell ref="U22:V22"/>
    <mergeCell ref="W22:X22"/>
    <mergeCell ref="AL22:AM22"/>
    <mergeCell ref="AN22:AO22"/>
    <mergeCell ref="AP22:AQ22"/>
    <mergeCell ref="A21:B21"/>
    <mergeCell ref="U21:V21"/>
    <mergeCell ref="W21:X21"/>
    <mergeCell ref="AL21:AM21"/>
    <mergeCell ref="AN21:AO21"/>
    <mergeCell ref="AP21:AQ21"/>
    <mergeCell ref="A24:B24"/>
    <mergeCell ref="U24:V24"/>
    <mergeCell ref="W24:X24"/>
    <mergeCell ref="AL24:AM24"/>
    <mergeCell ref="AN24:AO24"/>
    <mergeCell ref="AP24:AQ24"/>
    <mergeCell ref="A23:B23"/>
    <mergeCell ref="U23:V23"/>
    <mergeCell ref="W23:X23"/>
    <mergeCell ref="AL23:AM23"/>
    <mergeCell ref="AN23:AO23"/>
    <mergeCell ref="AP23:AQ23"/>
    <mergeCell ref="A28:AQ39"/>
    <mergeCell ref="A27:AQ27"/>
    <mergeCell ref="A26:B26"/>
    <mergeCell ref="U26:V26"/>
    <mergeCell ref="W26:X26"/>
    <mergeCell ref="AL26:AM26"/>
    <mergeCell ref="AN26:AO26"/>
    <mergeCell ref="AP26:AQ26"/>
    <mergeCell ref="A25:B25"/>
    <mergeCell ref="U25:V25"/>
    <mergeCell ref="W25:X25"/>
    <mergeCell ref="AL25:AM25"/>
    <mergeCell ref="AN25:AO25"/>
    <mergeCell ref="AP25:AQ25"/>
  </mergeCells>
  <phoneticPr fontId="53" type="noConversion"/>
  <pageMargins left="0.25" right="0.25" top="0.88541666666666663" bottom="0.75" header="0.3" footer="0.3"/>
  <pageSetup paperSize="258" scale="77" fitToHeight="0" orientation="landscape" r:id="rId1"/>
  <headerFooter>
    <oddHeader xml:space="preserve">&amp;C&amp;"-,Bold"
Interruptible Natural Gas Transmission Tariffs (VAT excluded) effective from 1 January 2024                                  
</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DE2DAFDA00D2E4C99E1B042C9DF7CB0" ma:contentTypeVersion="1" ma:contentTypeDescription="Create a new document." ma:contentTypeScope="" ma:versionID="544ae0c1bb3ba69aff2965ae68430a8f">
  <xsd:schema xmlns:xsd="http://www.w3.org/2001/XMLSchema" xmlns:xs="http://www.w3.org/2001/XMLSchema" xmlns:p="http://schemas.microsoft.com/office/2006/metadata/properties" xmlns:ns2="e8ad8025-1eb2-494f-b36d-1013a19dfede" targetNamespace="http://schemas.microsoft.com/office/2006/metadata/properties" ma:root="true" ma:fieldsID="ce60813903f2023ff39f35831b320006" ns2:_="">
    <xsd:import namespace="e8ad8025-1eb2-494f-b36d-1013a19dfede"/>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ad8025-1eb2-494f-b36d-1013a19dfede"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C7E5CBC-4DA5-4D4A-8D78-D2ECA15E7B47}"/>
</file>

<file path=customXml/itemProps2.xml><?xml version="1.0" encoding="utf-8"?>
<ds:datastoreItem xmlns:ds="http://schemas.openxmlformats.org/officeDocument/2006/customXml" ds:itemID="{01169ABA-921B-4188-A005-725CFBC04B67}"/>
</file>

<file path=customXml/itemProps3.xml><?xml version="1.0" encoding="utf-8"?>
<ds:datastoreItem xmlns:ds="http://schemas.openxmlformats.org/officeDocument/2006/customXml" ds:itemID="{FFF231D1-B516-4C00-87ED-FB24C3C9FC2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Annex 2. Prices 2024</vt:lpstr>
      <vt:lpstr>Annex 2. Ms, SFs, Short term </vt:lpstr>
      <vt:lpstr>2pr. pagr. duom. kn skaiciuoti</vt:lpstr>
      <vt:lpstr>Annex 2. Calc. of SFs_Unified</vt:lpstr>
      <vt:lpstr>Annex 2. 2024 Firm</vt:lpstr>
      <vt:lpstr>Annex 2. 2024 Interruptible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2023-07-19T09:25:53Z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5d43cbe-1d34-4aee-b177-a8008a220178_Enabled">
    <vt:lpwstr>true</vt:lpwstr>
  </property>
  <property fmtid="{D5CDD505-2E9C-101B-9397-08002B2CF9AE}" pid="3" name="MSIP_Label_25d43cbe-1d34-4aee-b177-a8008a220178_SetDate">
    <vt:lpwstr>2022-05-11T08:34:56Z</vt:lpwstr>
  </property>
  <property fmtid="{D5CDD505-2E9C-101B-9397-08002B2CF9AE}" pid="4" name="MSIP_Label_25d43cbe-1d34-4aee-b177-a8008a220178_Method">
    <vt:lpwstr>Privileged</vt:lpwstr>
  </property>
  <property fmtid="{D5CDD505-2E9C-101B-9397-08002B2CF9AE}" pid="5" name="MSIP_Label_25d43cbe-1d34-4aee-b177-a8008a220178_Name">
    <vt:lpwstr>ExternalUnprotected</vt:lpwstr>
  </property>
  <property fmtid="{D5CDD505-2E9C-101B-9397-08002B2CF9AE}" pid="6" name="MSIP_Label_25d43cbe-1d34-4aee-b177-a8008a220178_SiteId">
    <vt:lpwstr>e54289c6-b630-4215-acc5-57eec01212d6</vt:lpwstr>
  </property>
  <property fmtid="{D5CDD505-2E9C-101B-9397-08002B2CF9AE}" pid="7" name="MSIP_Label_25d43cbe-1d34-4aee-b177-a8008a220178_ActionId">
    <vt:lpwstr>5820e0e8-db43-4540-853b-dc53ed50787d</vt:lpwstr>
  </property>
  <property fmtid="{D5CDD505-2E9C-101B-9397-08002B2CF9AE}" pid="8" name="MSIP_Label_25d43cbe-1d34-4aee-b177-a8008a220178_ContentBits">
    <vt:lpwstr>0</vt:lpwstr>
  </property>
  <property fmtid="{D5CDD505-2E9C-101B-9397-08002B2CF9AE}" pid="9" name="ContentTypeId">
    <vt:lpwstr>0x010100BDE2DAFDA00D2E4C99E1B042C9DF7CB0</vt:lpwstr>
  </property>
</Properties>
</file>